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Validaz_Ripet_sr 5-02-13)" sheetId="1" r:id="rId1"/>
    <sheet name="Validaz_METROLOGICO13_03_13" sheetId="2" r:id="rId2"/>
    <sheet name="Ripetibilita_sr" sheetId="3" r:id="rId3"/>
    <sheet name="INCERTEZZA_METROLOGICO" sheetId="4" r:id="rId4"/>
    <sheet name="Leito Orig pH=7.52 TS, dt=3C" sheetId="5" r:id="rId5"/>
  </sheets>
  <definedNames>
    <definedName name="_xlnm.Print_Area" localSheetId="3">'INCERTEZZA_METROLOGICO'!$A$1:$Q$46</definedName>
    <definedName name="_xlnm.Print_Area" localSheetId="4">'Leito Orig pH=7.52 TS, dt=3C'!$A$1:$P$38</definedName>
    <definedName name="_xlnm.Print_Area" localSheetId="2">'Ripetibilita_sr'!$A$1:$M$44</definedName>
    <definedName name="_xlnm.Print_Area" localSheetId="1">'Validaz_METROLOGICO13_03_13'!$A$1:$Q$46</definedName>
    <definedName name="_xlnm.Print_Area" localSheetId="0">'Validaz_Ripet_sr 5-02-13)'!$A$1:$M$44</definedName>
  </definedNames>
  <calcPr fullCalcOnLoad="1"/>
</workbook>
</file>

<file path=xl/comments4.xml><?xml version="1.0" encoding="utf-8"?>
<comments xmlns="http://schemas.openxmlformats.org/spreadsheetml/2006/main">
  <authors>
    <author>Ringhio</author>
  </authors>
  <commentList>
    <comment ref="K21" authorId="0">
      <text>
        <r>
          <rPr>
            <b/>
            <sz val="9"/>
            <rFont val="Tahoma"/>
            <family val="0"/>
          </rPr>
          <t>Ringhio:</t>
        </r>
        <r>
          <rPr>
            <sz val="9"/>
            <rFont val="Tahoma"/>
            <family val="0"/>
          </rPr>
          <t xml:space="preserve">
Non inserire, aggiornamento automatico</t>
        </r>
      </text>
    </comment>
  </commentList>
</comments>
</file>

<file path=xl/sharedStrings.xml><?xml version="1.0" encoding="utf-8"?>
<sst xmlns="http://schemas.openxmlformats.org/spreadsheetml/2006/main" count="321" uniqueCount="97">
  <si>
    <t xml:space="preserve">  </t>
  </si>
  <si>
    <t xml:space="preserve"> Gradi di libertà ( v=n-1) :</t>
  </si>
  <si>
    <t xml:space="preserve"> Numero dati ( n.) :</t>
  </si>
  <si>
    <t xml:space="preserve"> Media ( Xm) :</t>
  </si>
  <si>
    <t xml:space="preserve"> Scarto tipo ( sr ) :</t>
  </si>
  <si>
    <t xml:space="preserve"> Coeff.variaz. percentuale ( CVr % ) :</t>
  </si>
  <si>
    <t>Incertezza Tipo Relativa di Ripetibilità:</t>
  </si>
  <si>
    <t>Incertezza Tipo di Ripetibilità della Media:</t>
  </si>
  <si>
    <t xml:space="preserve"> t di Student  ( v =n-1; p=0,95) :</t>
  </si>
  <si>
    <t xml:space="preserve"> LIMITE DI  RIPETIBILITA'  metodo ( r ) :</t>
  </si>
  <si>
    <t>Serie 1</t>
  </si>
  <si>
    <t>Serie 2</t>
  </si>
  <si>
    <t>Serie 3</t>
  </si>
  <si>
    <t>Valore Critico F Fisher ( v1;v2; p=0,95) :</t>
  </si>
  <si>
    <t>F Fischer</t>
  </si>
  <si>
    <t>(sr * v)^2</t>
  </si>
  <si>
    <t>sr medio (media quadratica pesata)</t>
  </si>
  <si>
    <t xml:space="preserve"> LIMITE DI  RIPETIBILITA'  ( r ) :</t>
  </si>
  <si>
    <t>Xm medio</t>
  </si>
  <si>
    <t>Considerando le repliche ruotinarie diventa:</t>
  </si>
  <si>
    <t>in doppio   n=</t>
  </si>
  <si>
    <t>in singolo   n=</t>
  </si>
  <si>
    <t>con correzione per fattore  repliche routinarie:</t>
  </si>
  <si>
    <t xml:space="preserve">LABORATORIO MARE.A SRL                                        </t>
  </si>
  <si>
    <t>Incertezza Tipo  di Ripetibilità Xm Medio</t>
  </si>
  <si>
    <t>Mod. Stat. Inc Metr.</t>
  </si>
  <si>
    <t>pH</t>
  </si>
  <si>
    <t>Metodo</t>
  </si>
  <si>
    <t>EN ISO 10523:2012</t>
  </si>
  <si>
    <t>Estimation of Uncertainty in Routine pH Measurement</t>
  </si>
  <si>
    <t>u</t>
  </si>
  <si>
    <t>E</t>
  </si>
  <si>
    <t>mV</t>
  </si>
  <si>
    <t>a</t>
  </si>
  <si>
    <t>s</t>
  </si>
  <si>
    <r>
      <t>u</t>
    </r>
    <r>
      <rPr>
        <b/>
        <sz val="11"/>
        <rFont val="Arial"/>
        <family val="2"/>
      </rPr>
      <t>(pH, acc)</t>
    </r>
  </si>
  <si>
    <r>
      <t>u</t>
    </r>
    <r>
      <rPr>
        <b/>
        <sz val="11"/>
        <rFont val="Arial"/>
        <family val="2"/>
      </rPr>
      <t>(pH, temp)</t>
    </r>
  </si>
  <si>
    <r>
      <t>u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E</t>
    </r>
    <r>
      <rPr>
        <b/>
        <sz val="11"/>
        <rFont val="Arial"/>
        <family val="2"/>
      </rPr>
      <t>, rep)</t>
    </r>
  </si>
  <si>
    <r>
      <t>u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E</t>
    </r>
    <r>
      <rPr>
        <b/>
        <sz val="11"/>
        <rFont val="Arial"/>
        <family val="2"/>
      </rPr>
      <t>, JP)</t>
    </r>
  </si>
  <si>
    <r>
      <t>E</t>
    </r>
    <r>
      <rPr>
        <b/>
        <vertAlign val="subscript"/>
        <sz val="11"/>
        <rFont val="Arial"/>
        <family val="2"/>
      </rPr>
      <t>x</t>
    </r>
  </si>
  <si>
    <r>
      <t>u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E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>, rep)</t>
    </r>
  </si>
  <si>
    <r>
      <t>E</t>
    </r>
    <r>
      <rPr>
        <b/>
        <vertAlign val="subscript"/>
        <sz val="11"/>
        <rFont val="Arial"/>
        <family val="2"/>
      </rPr>
      <t>is</t>
    </r>
  </si>
  <si>
    <r>
      <t>d</t>
    </r>
    <r>
      <rPr>
        <b/>
        <sz val="11"/>
        <rFont val="Arial"/>
        <family val="2"/>
      </rPr>
      <t>pH</t>
    </r>
    <r>
      <rPr>
        <b/>
        <vertAlign val="subscript"/>
        <sz val="11"/>
        <rFont val="Arial"/>
        <family val="2"/>
      </rPr>
      <t>xm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</si>
  <si>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>pH</t>
    </r>
    <r>
      <rPr>
        <b/>
        <vertAlign val="subscript"/>
        <sz val="10"/>
        <rFont val="Arial"/>
        <family val="2"/>
      </rPr>
      <t>xm</t>
    </r>
    <r>
      <rPr>
        <b/>
        <sz val="10"/>
        <rFont val="Arial"/>
        <family val="2"/>
      </rPr>
      <t>, rep)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</si>
  <si>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Symbol"/>
        <family val="1"/>
      </rPr>
      <t>d</t>
    </r>
    <r>
      <rPr>
        <b/>
        <sz val="10"/>
        <rFont val="Arial"/>
        <family val="2"/>
      </rPr>
      <t>pH</t>
    </r>
    <r>
      <rPr>
        <b/>
        <vertAlign val="subscript"/>
        <sz val="10"/>
        <rFont val="Arial"/>
        <family val="2"/>
      </rPr>
      <t>xm</t>
    </r>
    <r>
      <rPr>
        <b/>
        <sz val="10"/>
        <rFont val="Arial"/>
        <family val="2"/>
      </rPr>
      <t>, read)</t>
    </r>
  </si>
  <si>
    <r>
      <t>u</t>
    </r>
    <r>
      <rPr>
        <b/>
        <sz val="11"/>
        <rFont val="Arial"/>
        <family val="2"/>
      </rPr>
      <t>(</t>
    </r>
    <r>
      <rPr>
        <b/>
        <i/>
        <sz val="11"/>
        <rFont val="Symbol"/>
        <family val="1"/>
      </rPr>
      <t>d</t>
    </r>
    <r>
      <rPr>
        <b/>
        <sz val="11"/>
        <rFont val="Arial"/>
        <family val="2"/>
      </rPr>
      <t>pH</t>
    </r>
    <r>
      <rPr>
        <b/>
        <vertAlign val="subscript"/>
        <sz val="11"/>
        <rFont val="Arial"/>
        <family val="2"/>
      </rPr>
      <t>xm</t>
    </r>
    <r>
      <rPr>
        <b/>
        <sz val="11"/>
        <rFont val="Arial"/>
        <family val="2"/>
      </rPr>
      <t>, drift)</t>
    </r>
  </si>
  <si>
    <r>
      <t>D</t>
    </r>
    <r>
      <rPr>
        <b/>
        <i/>
        <sz val="11"/>
        <rFont val="Arial"/>
        <family val="2"/>
      </rPr>
      <t>t</t>
    </r>
  </si>
  <si>
    <r>
      <t>x</t>
    </r>
    <r>
      <rPr>
        <b/>
        <vertAlign val="subscript"/>
        <sz val="11"/>
        <rFont val="Arial"/>
        <family val="2"/>
      </rPr>
      <t>i</t>
    </r>
  </si>
  <si>
    <r>
      <t>pH</t>
    </r>
    <r>
      <rPr>
        <b/>
        <vertAlign val="subscript"/>
        <sz val="11"/>
        <rFont val="Arial"/>
        <family val="2"/>
      </rPr>
      <t>1</t>
    </r>
  </si>
  <si>
    <r>
      <t>pH</t>
    </r>
    <r>
      <rPr>
        <b/>
        <vertAlign val="subscript"/>
        <sz val="11"/>
        <rFont val="Arial"/>
        <family val="2"/>
      </rPr>
      <t>2</t>
    </r>
  </si>
  <si>
    <r>
      <t>E</t>
    </r>
    <r>
      <rPr>
        <b/>
        <i/>
        <vertAlign val="subscript"/>
        <sz val="11"/>
        <rFont val="Arial"/>
        <family val="2"/>
      </rPr>
      <t>1</t>
    </r>
  </si>
  <si>
    <r>
      <t>E</t>
    </r>
    <r>
      <rPr>
        <b/>
        <i/>
        <vertAlign val="subscript"/>
        <sz val="11"/>
        <rFont val="Arial"/>
        <family val="2"/>
      </rPr>
      <t>2</t>
    </r>
  </si>
  <si>
    <r>
      <t>u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x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>)</t>
    </r>
  </si>
  <si>
    <r>
      <t>D</t>
    </r>
    <r>
      <rPr>
        <b/>
        <i/>
        <sz val="11"/>
        <rFont val="Arial"/>
        <family val="2"/>
      </rPr>
      <t>x</t>
    </r>
    <r>
      <rPr>
        <b/>
        <vertAlign val="subscript"/>
        <sz val="11"/>
        <rFont val="Arial"/>
        <family val="2"/>
      </rPr>
      <t>i</t>
    </r>
  </si>
  <si>
    <r>
      <t>¶</t>
    </r>
    <r>
      <rPr>
        <b/>
        <sz val="11"/>
        <rFont val="Arial"/>
        <family val="2"/>
      </rPr>
      <t>pH/</t>
    </r>
    <r>
      <rPr>
        <b/>
        <sz val="11"/>
        <rFont val="Symbol"/>
        <family val="1"/>
      </rPr>
      <t>¶</t>
    </r>
    <r>
      <rPr>
        <b/>
        <i/>
        <sz val="11"/>
        <rFont val="Arial"/>
        <family val="2"/>
      </rPr>
      <t>x</t>
    </r>
    <r>
      <rPr>
        <b/>
        <vertAlign val="subscript"/>
        <sz val="11"/>
        <rFont val="Arial"/>
        <family val="2"/>
      </rPr>
      <t>i</t>
    </r>
  </si>
  <si>
    <r>
      <t>(</t>
    </r>
    <r>
      <rPr>
        <b/>
        <sz val="11"/>
        <rFont val="Symbol"/>
        <family val="1"/>
      </rPr>
      <t>¶</t>
    </r>
    <r>
      <rPr>
        <b/>
        <sz val="11"/>
        <rFont val="Arial"/>
        <family val="2"/>
      </rPr>
      <t>pH/</t>
    </r>
    <r>
      <rPr>
        <b/>
        <sz val="11"/>
        <rFont val="Symbol"/>
        <family val="1"/>
      </rPr>
      <t>¶</t>
    </r>
    <r>
      <rPr>
        <b/>
        <i/>
        <sz val="11"/>
        <rFont val="Arial"/>
        <family val="2"/>
      </rPr>
      <t>x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>)·</t>
    </r>
    <r>
      <rPr>
        <b/>
        <i/>
        <sz val="11"/>
        <rFont val="Arial"/>
        <family val="2"/>
      </rPr>
      <t>u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x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>)</t>
    </r>
  </si>
  <si>
    <r>
      <t>u</t>
    </r>
    <r>
      <rPr>
        <vertAlign val="subscript"/>
        <sz val="11"/>
        <rFont val="Arial"/>
        <family val="2"/>
      </rPr>
      <t>C</t>
    </r>
    <r>
      <rPr>
        <sz val="11"/>
        <rFont val="Arial"/>
        <family val="2"/>
      </rPr>
      <t>(pH</t>
    </r>
    <r>
      <rPr>
        <vertAlign val="subscript"/>
        <sz val="11"/>
        <rFont val="Arial"/>
        <family val="2"/>
      </rPr>
      <t>x</t>
    </r>
    <r>
      <rPr>
        <sz val="11"/>
        <rFont val="Arial"/>
        <family val="2"/>
      </rPr>
      <t>)=</t>
    </r>
  </si>
  <si>
    <r>
      <t>pH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>=</t>
    </r>
  </si>
  <si>
    <r>
      <t>U</t>
    </r>
    <r>
      <rPr>
        <b/>
        <sz val="11"/>
        <rFont val="Arial"/>
        <family val="2"/>
      </rPr>
      <t>(pH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>)=</t>
    </r>
  </si>
  <si>
    <r>
      <t>k</t>
    </r>
    <r>
      <rPr>
        <b/>
        <sz val="11"/>
        <rFont val="Arial"/>
        <family val="2"/>
      </rPr>
      <t xml:space="preserve"> = 2, norm.</t>
    </r>
  </si>
  <si>
    <t>pH =</t>
  </si>
  <si>
    <t>Metodologia Calcoli  da  Leito et al. 2002 Estimatio of uncertainty in routine pH measurement - Accre.Qual.Assur(2002) 7:242-249</t>
  </si>
  <si>
    <t>STIMA DELL' INCERTEZZA SECONDO IL METODO METROLOGICO IN MISURE DI pH</t>
  </si>
  <si>
    <r>
      <t xml:space="preserve">pH = 7.52 (with temperature sensor connected), </t>
    </r>
    <r>
      <rPr>
        <sz val="11"/>
        <rFont val="Symbol"/>
        <family val="1"/>
      </rPr>
      <t>D</t>
    </r>
    <r>
      <rPr>
        <sz val="11"/>
        <rFont val="Arial"/>
        <family val="2"/>
      </rPr>
      <t>t = 3C</t>
    </r>
  </si>
  <si>
    <t>FOGLIO DI CALCOLO CALCOLO INCERTEZZA DI RIPETIBILITA'</t>
  </si>
  <si>
    <t>Rip pH</t>
  </si>
  <si>
    <t>data</t>
  </si>
  <si>
    <t>U.F. Strumento</t>
  </si>
  <si>
    <t>pH Sol 1</t>
  </si>
  <si>
    <t>pH Sol 2</t>
  </si>
  <si>
    <t>E. Sol 1</t>
  </si>
  <si>
    <t>E. Sol 2</t>
  </si>
  <si>
    <t>E.x</t>
  </si>
  <si>
    <t>inc +/-</t>
  </si>
  <si>
    <t>Inc Term +/-</t>
  </si>
  <si>
    <t>inc/°C +/-</t>
  </si>
  <si>
    <t>T. Calibrazione</t>
  </si>
  <si>
    <t>°C</t>
  </si>
  <si>
    <t xml:space="preserve">Ripetibilità pH </t>
  </si>
  <si>
    <t>pH drift</t>
  </si>
  <si>
    <t>Ripetibilità E Sol. 1</t>
  </si>
  <si>
    <t>Ripetibilità E Sol. 2</t>
  </si>
  <si>
    <t xml:space="preserve">Resid pot. Giun JP </t>
  </si>
  <si>
    <t>Stima del:</t>
  </si>
  <si>
    <r>
      <t>((</t>
    </r>
    <r>
      <rPr>
        <b/>
        <sz val="11"/>
        <rFont val="Symbol"/>
        <family val="1"/>
      </rPr>
      <t>¶</t>
    </r>
    <r>
      <rPr>
        <b/>
        <sz val="11"/>
        <rFont val="Arial"/>
        <family val="2"/>
      </rPr>
      <t>pH/</t>
    </r>
    <r>
      <rPr>
        <b/>
        <sz val="11"/>
        <rFont val="Symbol"/>
        <family val="1"/>
      </rPr>
      <t>¶</t>
    </r>
    <r>
      <rPr>
        <b/>
        <i/>
        <sz val="11"/>
        <rFont val="Arial"/>
        <family val="2"/>
      </rPr>
      <t>x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>)·</t>
    </r>
    <r>
      <rPr>
        <b/>
        <i/>
        <sz val="11"/>
        <rFont val="Arial"/>
        <family val="2"/>
      </rPr>
      <t>u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x</t>
    </r>
    <r>
      <rPr>
        <b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>))^2</t>
    </r>
  </si>
  <si>
    <t>%</t>
  </si>
  <si>
    <r>
      <t>E</t>
    </r>
    <r>
      <rPr>
        <b/>
        <i/>
        <vertAlign val="subscript"/>
        <sz val="11"/>
        <rFont val="Arial"/>
        <family val="2"/>
      </rPr>
      <t>1 Rep+JP</t>
    </r>
  </si>
  <si>
    <r>
      <t>E</t>
    </r>
    <r>
      <rPr>
        <b/>
        <i/>
        <vertAlign val="subscript"/>
        <sz val="11"/>
        <rFont val="Arial"/>
        <family val="2"/>
      </rPr>
      <t>2 Rep+JP</t>
    </r>
  </si>
  <si>
    <t>U Misura pH incognito</t>
  </si>
  <si>
    <t>U da diff. Temperatura caibrazionel./misura</t>
  </si>
  <si>
    <r>
      <t xml:space="preserve">U </t>
    </r>
    <r>
      <rPr>
        <b/>
        <sz val="10"/>
        <rFont val="Arial"/>
        <family val="2"/>
      </rPr>
      <t>pH1</t>
    </r>
    <r>
      <rPr>
        <sz val="10"/>
        <rFont val="Arial"/>
        <family val="2"/>
      </rPr>
      <t xml:space="preserve"> diff tra valore vero e dichiarato</t>
    </r>
  </si>
  <si>
    <r>
      <t xml:space="preserve">U </t>
    </r>
    <r>
      <rPr>
        <b/>
        <sz val="10"/>
        <rFont val="Arial"/>
        <family val="2"/>
      </rPr>
      <t>pH2</t>
    </r>
    <r>
      <rPr>
        <sz val="10"/>
        <rFont val="Arial"/>
        <family val="2"/>
      </rPr>
      <t xml:space="preserve"> diff tra valore vero e dichiarato</t>
    </r>
  </si>
  <si>
    <r>
      <t xml:space="preserve">U </t>
    </r>
    <r>
      <rPr>
        <b/>
        <sz val="10"/>
        <rFont val="Arial"/>
        <family val="2"/>
      </rPr>
      <t>Eis</t>
    </r>
    <r>
      <rPr>
        <sz val="10"/>
        <rFont val="Arial"/>
        <family val="0"/>
      </rPr>
      <t xml:space="preserve"> isopotenziale</t>
    </r>
  </si>
  <si>
    <r>
      <t xml:space="preserve">U </t>
    </r>
    <r>
      <rPr>
        <b/>
        <sz val="10"/>
        <rFont val="Arial"/>
        <family val="2"/>
      </rPr>
      <t>alfa</t>
    </r>
    <r>
      <rPr>
        <sz val="10"/>
        <rFont val="Arial"/>
        <family val="0"/>
      </rPr>
      <t xml:space="preserve"> coeff. di temperatura della pendenza</t>
    </r>
  </si>
  <si>
    <t>(with temperature sensor connected)</t>
  </si>
  <si>
    <r>
      <t>Potenz Max ass E</t>
    </r>
    <r>
      <rPr>
        <b/>
        <vertAlign val="subscript"/>
        <sz val="10"/>
        <rFont val="Arial"/>
        <family val="2"/>
      </rPr>
      <t>is</t>
    </r>
  </si>
  <si>
    <t>Limite ripetibilità r =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</si>
</sst>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"/>
    <numFmt numFmtId="166" formatCode="0.000"/>
    <numFmt numFmtId="167" formatCode="0.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0"/>
    <numFmt numFmtId="177" formatCode="0.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0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5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i/>
      <sz val="11"/>
      <name val="Arial"/>
      <family val="2"/>
    </font>
    <font>
      <b/>
      <vertAlign val="subscript"/>
      <sz val="11"/>
      <name val="Arial"/>
      <family val="2"/>
    </font>
    <font>
      <b/>
      <i/>
      <sz val="11"/>
      <name val="Symbol"/>
      <family val="1"/>
    </font>
    <font>
      <b/>
      <i/>
      <sz val="10"/>
      <name val="Symbol"/>
      <family val="1"/>
    </font>
    <font>
      <b/>
      <vertAlign val="subscript"/>
      <sz val="10"/>
      <name val="Arial"/>
      <family val="2"/>
    </font>
    <font>
      <b/>
      <sz val="11"/>
      <name val="Symbol"/>
      <family val="1"/>
    </font>
    <font>
      <b/>
      <i/>
      <vertAlign val="subscript"/>
      <sz val="11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name val="Symbol"/>
      <family val="1"/>
    </font>
    <font>
      <b/>
      <sz val="8"/>
      <name val="Arial"/>
      <family val="2"/>
    </font>
    <font>
      <sz val="4.75"/>
      <name val="Arial"/>
      <family val="0"/>
    </font>
    <font>
      <sz val="9"/>
      <name val="Tahoma"/>
      <family val="0"/>
    </font>
    <font>
      <b/>
      <sz val="9"/>
      <name val="Tahoma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0" borderId="3" applyNumberForma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7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0" fillId="4" borderId="4" applyNumberFormat="0" applyFont="0" applyAlignment="0" applyProtection="0"/>
    <xf numFmtId="0" fontId="19" fillId="9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11" borderId="0" xfId="0" applyFont="1" applyFill="1" applyAlignment="1">
      <alignment/>
    </xf>
    <xf numFmtId="0" fontId="0" fillId="0" borderId="0" xfId="0" applyFont="1" applyAlignment="1">
      <alignment/>
    </xf>
    <xf numFmtId="0" fontId="2" fillId="19" borderId="0" xfId="0" applyFont="1" applyFill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166" fontId="11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7" fontId="10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180" fontId="10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" fontId="9" fillId="0" borderId="0" xfId="0" applyNumberFormat="1" applyFont="1" applyAlignment="1">
      <alignment/>
    </xf>
    <xf numFmtId="0" fontId="2" fillId="2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21" borderId="0" xfId="0" applyFont="1" applyFill="1" applyAlignment="1">
      <alignment/>
    </xf>
    <xf numFmtId="14" fontId="0" fillId="8" borderId="0" xfId="0" applyNumberFormat="1" applyFill="1" applyAlignment="1">
      <alignment/>
    </xf>
    <xf numFmtId="0" fontId="0" fillId="8" borderId="0" xfId="0" applyFill="1" applyAlignment="1" applyProtection="1">
      <alignment/>
      <protection locked="0"/>
    </xf>
    <xf numFmtId="0" fontId="0" fillId="8" borderId="0" xfId="0" applyNumberFormat="1" applyFill="1" applyAlignment="1" applyProtection="1">
      <alignment/>
      <protection locked="0"/>
    </xf>
    <xf numFmtId="14" fontId="0" fillId="8" borderId="0" xfId="0" applyNumberFormat="1" applyFill="1" applyAlignment="1" applyProtection="1">
      <alignment/>
      <protection locked="0"/>
    </xf>
    <xf numFmtId="0" fontId="9" fillId="8" borderId="0" xfId="0" applyFont="1" applyFill="1" applyAlignment="1">
      <alignment/>
    </xf>
    <xf numFmtId="2" fontId="9" fillId="8" borderId="0" xfId="0" applyNumberFormat="1" applyFont="1" applyFill="1" applyAlignment="1">
      <alignment/>
    </xf>
    <xf numFmtId="14" fontId="9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166" fontId="9" fillId="0" borderId="0" xfId="0" applyNumberFormat="1" applyFont="1" applyAlignment="1">
      <alignment/>
    </xf>
    <xf numFmtId="0" fontId="9" fillId="8" borderId="0" xfId="0" applyFont="1" applyFill="1" applyAlignment="1" applyProtection="1">
      <alignment/>
      <protection locked="0"/>
    </xf>
    <xf numFmtId="2" fontId="9" fillId="8" borderId="0" xfId="0" applyNumberFormat="1" applyFont="1" applyFill="1" applyAlignment="1" applyProtection="1">
      <alignment/>
      <protection locked="0"/>
    </xf>
    <xf numFmtId="14" fontId="9" fillId="8" borderId="0" xfId="0" applyNumberFormat="1" applyFont="1" applyFill="1" applyAlignment="1" applyProtection="1">
      <alignment horizontal="left"/>
      <protection locked="0"/>
    </xf>
    <xf numFmtId="0" fontId="9" fillId="8" borderId="0" xfId="0" applyFont="1" applyFill="1" applyAlignment="1" applyProtection="1">
      <alignment/>
      <protection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/>
    </xf>
    <xf numFmtId="14" fontId="8" fillId="0" borderId="18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9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itolo_4_and_10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Componenti Incertezza</a:t>
            </a:r>
          </a:p>
        </c:rich>
      </c:tx>
      <c:layout>
        <c:manualLayout>
          <c:xMode val="factor"/>
          <c:yMode val="factor"/>
          <c:x val="-0.242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035"/>
          <c:w val="0.5245"/>
          <c:h val="0.7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0000"/>
              </a:solidFill>
            </c:spPr>
          </c:dPt>
          <c:cat>
            <c:strRef>
              <c:f>Validaz_METROLOGICO13_03_13!$W$17:$W$24</c:f>
              <c:strCache/>
            </c:strRef>
          </c:cat>
          <c:val>
            <c:numRef>
              <c:f>Validaz_METROLOGICO13_03_13!$X$17:$X$24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Componenti Incertezza</a:t>
            </a:r>
          </a:p>
        </c:rich>
      </c:tx>
      <c:layout>
        <c:manualLayout>
          <c:xMode val="factor"/>
          <c:yMode val="factor"/>
          <c:x val="-0.242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035"/>
          <c:w val="0.5245"/>
          <c:h val="0.7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0000"/>
              </a:solidFill>
            </c:spPr>
          </c:dPt>
          <c:cat>
            <c:strRef>
              <c:f>INCERTEZZA_METROLOGICO!$W$17:$W$24</c:f>
              <c:strCache/>
            </c:strRef>
          </c:cat>
          <c:val>
            <c:numRef>
              <c:f>INCERTEZZA_METROLOGICO!$X$17:$X$24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609600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3086100" y="178117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609600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3086100" y="178117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609600</xdr:colOff>
      <xdr:row>11</xdr:row>
      <xdr:rowOff>0</xdr:rowOff>
    </xdr:to>
    <xdr:sp>
      <xdr:nvSpPr>
        <xdr:cNvPr id="16" name="Line 2"/>
        <xdr:cNvSpPr>
          <a:spLocks/>
        </xdr:cNvSpPr>
      </xdr:nvSpPr>
      <xdr:spPr>
        <a:xfrm>
          <a:off x="3086100" y="178117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609600</xdr:colOff>
      <xdr:row>11</xdr:row>
      <xdr:rowOff>0</xdr:rowOff>
    </xdr:to>
    <xdr:sp>
      <xdr:nvSpPr>
        <xdr:cNvPr id="18" name="Line 4"/>
        <xdr:cNvSpPr>
          <a:spLocks/>
        </xdr:cNvSpPr>
      </xdr:nvSpPr>
      <xdr:spPr>
        <a:xfrm>
          <a:off x="3086100" y="178117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19" name="Text Box 5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20" name="Line 6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21" name="Text Box 7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22" name="Line 8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23" name="Text Box 9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24" name="Line 10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25" name="Text Box 11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26" name="Line 12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27" name="Text Box 13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28" name="Line 14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29" name="Text Box 253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847725</xdr:colOff>
      <xdr:row>11</xdr:row>
      <xdr:rowOff>0</xdr:rowOff>
    </xdr:to>
    <xdr:sp>
      <xdr:nvSpPr>
        <xdr:cNvPr id="30" name="Line 254"/>
        <xdr:cNvSpPr>
          <a:spLocks/>
        </xdr:cNvSpPr>
      </xdr:nvSpPr>
      <xdr:spPr>
        <a:xfrm>
          <a:off x="308610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31" name="Text Box 255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32" name="Line 256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33" name="Text Box 257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34" name="Line 258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35" name="Text Box 781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847725</xdr:colOff>
      <xdr:row>11</xdr:row>
      <xdr:rowOff>0</xdr:rowOff>
    </xdr:to>
    <xdr:sp>
      <xdr:nvSpPr>
        <xdr:cNvPr id="36" name="Line 782"/>
        <xdr:cNvSpPr>
          <a:spLocks/>
        </xdr:cNvSpPr>
      </xdr:nvSpPr>
      <xdr:spPr>
        <a:xfrm>
          <a:off x="308610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9525</xdr:rowOff>
    </xdr:from>
    <xdr:to>
      <xdr:col>16</xdr:col>
      <xdr:colOff>466725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8220075" y="3362325"/>
        <a:ext cx="36290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609600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3086100" y="178117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609600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3086100" y="178117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609600</xdr:colOff>
      <xdr:row>11</xdr:row>
      <xdr:rowOff>0</xdr:rowOff>
    </xdr:to>
    <xdr:sp>
      <xdr:nvSpPr>
        <xdr:cNvPr id="16" name="Line 2"/>
        <xdr:cNvSpPr>
          <a:spLocks/>
        </xdr:cNvSpPr>
      </xdr:nvSpPr>
      <xdr:spPr>
        <a:xfrm>
          <a:off x="3086100" y="178117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609600</xdr:colOff>
      <xdr:row>11</xdr:row>
      <xdr:rowOff>0</xdr:rowOff>
    </xdr:to>
    <xdr:sp>
      <xdr:nvSpPr>
        <xdr:cNvPr id="18" name="Line 4"/>
        <xdr:cNvSpPr>
          <a:spLocks/>
        </xdr:cNvSpPr>
      </xdr:nvSpPr>
      <xdr:spPr>
        <a:xfrm>
          <a:off x="3086100" y="178117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19" name="Text Box 5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20" name="Line 6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21" name="Text Box 7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22" name="Line 8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23" name="Text Box 9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24" name="Line 10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25" name="Text Box 11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26" name="Line 12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27" name="Text Box 13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28" name="Line 14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29" name="Text Box 253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847725</xdr:colOff>
      <xdr:row>11</xdr:row>
      <xdr:rowOff>0</xdr:rowOff>
    </xdr:to>
    <xdr:sp>
      <xdr:nvSpPr>
        <xdr:cNvPr id="30" name="Line 254"/>
        <xdr:cNvSpPr>
          <a:spLocks/>
        </xdr:cNvSpPr>
      </xdr:nvSpPr>
      <xdr:spPr>
        <a:xfrm>
          <a:off x="308610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142875</xdr:rowOff>
    </xdr:from>
    <xdr:ext cx="76200" cy="200025"/>
    <xdr:sp fLocksText="0">
      <xdr:nvSpPr>
        <xdr:cNvPr id="31" name="Text Box 255"/>
        <xdr:cNvSpPr txBox="1">
          <a:spLocks noChangeArrowheads="1"/>
        </xdr:cNvSpPr>
      </xdr:nvSpPr>
      <xdr:spPr>
        <a:xfrm>
          <a:off x="476250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</xdr:colOff>
      <xdr:row>11</xdr:row>
      <xdr:rowOff>0</xdr:rowOff>
    </xdr:from>
    <xdr:to>
      <xdr:col>3</xdr:col>
      <xdr:colOff>847725</xdr:colOff>
      <xdr:row>11</xdr:row>
      <xdr:rowOff>0</xdr:rowOff>
    </xdr:to>
    <xdr:sp>
      <xdr:nvSpPr>
        <xdr:cNvPr id="32" name="Line 256"/>
        <xdr:cNvSpPr>
          <a:spLocks/>
        </xdr:cNvSpPr>
      </xdr:nvSpPr>
      <xdr:spPr>
        <a:xfrm>
          <a:off x="478155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142875</xdr:rowOff>
    </xdr:from>
    <xdr:ext cx="76200" cy="200025"/>
    <xdr:sp fLocksText="0">
      <xdr:nvSpPr>
        <xdr:cNvPr id="33" name="Text Box 257"/>
        <xdr:cNvSpPr txBox="1">
          <a:spLocks noChangeArrowheads="1"/>
        </xdr:cNvSpPr>
      </xdr:nvSpPr>
      <xdr:spPr>
        <a:xfrm>
          <a:off x="3914775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11</xdr:row>
      <xdr:rowOff>0</xdr:rowOff>
    </xdr:from>
    <xdr:to>
      <xdr:col>2</xdr:col>
      <xdr:colOff>847725</xdr:colOff>
      <xdr:row>11</xdr:row>
      <xdr:rowOff>0</xdr:rowOff>
    </xdr:to>
    <xdr:sp>
      <xdr:nvSpPr>
        <xdr:cNvPr id="34" name="Line 258"/>
        <xdr:cNvSpPr>
          <a:spLocks/>
        </xdr:cNvSpPr>
      </xdr:nvSpPr>
      <xdr:spPr>
        <a:xfrm>
          <a:off x="3933825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13</xdr:row>
      <xdr:rowOff>142875</xdr:rowOff>
    </xdr:from>
    <xdr:ext cx="76200" cy="200025"/>
    <xdr:sp fLocksText="0">
      <xdr:nvSpPr>
        <xdr:cNvPr id="35" name="Text Box 781"/>
        <xdr:cNvSpPr txBox="1">
          <a:spLocks noChangeArrowheads="1"/>
        </xdr:cNvSpPr>
      </xdr:nvSpPr>
      <xdr:spPr>
        <a:xfrm>
          <a:off x="3067050" y="224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11</xdr:row>
      <xdr:rowOff>0</xdr:rowOff>
    </xdr:from>
    <xdr:to>
      <xdr:col>1</xdr:col>
      <xdr:colOff>847725</xdr:colOff>
      <xdr:row>11</xdr:row>
      <xdr:rowOff>0</xdr:rowOff>
    </xdr:to>
    <xdr:sp>
      <xdr:nvSpPr>
        <xdr:cNvPr id="36" name="Line 782"/>
        <xdr:cNvSpPr>
          <a:spLocks/>
        </xdr:cNvSpPr>
      </xdr:nvSpPr>
      <xdr:spPr>
        <a:xfrm>
          <a:off x="3086100" y="1781175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9525</xdr:rowOff>
    </xdr:from>
    <xdr:to>
      <xdr:col>16</xdr:col>
      <xdr:colOff>466725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8220075" y="3409950"/>
        <a:ext cx="3629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oggi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1">
      <selection activeCell="K7" sqref="K7"/>
    </sheetView>
  </sheetViews>
  <sheetFormatPr defaultColWidth="9.140625" defaultRowHeight="12.75"/>
  <cols>
    <col min="1" max="1" width="46.00390625" style="0" customWidth="1"/>
    <col min="2" max="4" width="12.7109375" style="0" customWidth="1"/>
    <col min="6" max="6" width="21.7109375" style="0" customWidth="1"/>
  </cols>
  <sheetData>
    <row r="1" spans="1:13" ht="12.75" customHeight="1">
      <c r="A1" s="72" t="s">
        <v>64</v>
      </c>
      <c r="B1" s="73"/>
      <c r="C1" s="73"/>
      <c r="D1" s="74"/>
      <c r="E1" s="81" t="s">
        <v>23</v>
      </c>
      <c r="F1" s="81"/>
      <c r="G1" s="81"/>
      <c r="H1" s="81"/>
      <c r="I1" s="81"/>
      <c r="J1" s="81"/>
      <c r="K1" s="81"/>
      <c r="L1" s="82" t="s">
        <v>25</v>
      </c>
      <c r="M1" s="82"/>
    </row>
    <row r="2" spans="1:13" ht="12.75">
      <c r="A2" s="75"/>
      <c r="B2" s="76"/>
      <c r="C2" s="76"/>
      <c r="D2" s="77"/>
      <c r="E2" s="81"/>
      <c r="F2" s="81"/>
      <c r="G2" s="81"/>
      <c r="H2" s="81"/>
      <c r="I2" s="81"/>
      <c r="J2" s="81"/>
      <c r="K2" s="81"/>
      <c r="L2" s="82" t="s">
        <v>65</v>
      </c>
      <c r="M2" s="82"/>
    </row>
    <row r="3" spans="1:13" ht="12.75">
      <c r="A3" s="78"/>
      <c r="B3" s="79"/>
      <c r="C3" s="79"/>
      <c r="D3" s="80"/>
      <c r="E3" s="81"/>
      <c r="F3" s="81"/>
      <c r="G3" s="81"/>
      <c r="H3" s="81"/>
      <c r="I3" s="81"/>
      <c r="J3" s="81"/>
      <c r="K3" s="81"/>
      <c r="L3" s="83">
        <v>41323</v>
      </c>
      <c r="M3" s="82"/>
    </row>
    <row r="7" spans="1:6" ht="12.75">
      <c r="A7" t="s">
        <v>27</v>
      </c>
      <c r="E7" t="s">
        <v>66</v>
      </c>
      <c r="F7" s="57">
        <v>41323</v>
      </c>
    </row>
    <row r="8" ht="12.75">
      <c r="A8" s="14" t="s">
        <v>28</v>
      </c>
    </row>
    <row r="9" spans="2:4" ht="12.75">
      <c r="B9" t="s">
        <v>10</v>
      </c>
      <c r="C9" t="s">
        <v>11</v>
      </c>
      <c r="D9" t="s">
        <v>12</v>
      </c>
    </row>
    <row r="11" spans="1:4" ht="12.75">
      <c r="A11">
        <v>1</v>
      </c>
      <c r="B11" s="14">
        <v>5.32</v>
      </c>
      <c r="C11" s="14">
        <v>7.42</v>
      </c>
      <c r="D11" s="14">
        <v>9.02</v>
      </c>
    </row>
    <row r="12" spans="1:4" ht="12.75">
      <c r="A12">
        <v>2</v>
      </c>
      <c r="B12" s="14">
        <v>5.33</v>
      </c>
      <c r="C12" s="14">
        <v>7.42</v>
      </c>
      <c r="D12" s="14">
        <v>9.02</v>
      </c>
    </row>
    <row r="13" spans="1:4" ht="12.75">
      <c r="A13">
        <v>3</v>
      </c>
      <c r="B13" s="14">
        <v>5.33</v>
      </c>
      <c r="C13" s="14">
        <v>7.43</v>
      </c>
      <c r="D13" s="14">
        <v>9.04</v>
      </c>
    </row>
    <row r="14" spans="1:4" ht="12.75">
      <c r="A14">
        <v>4</v>
      </c>
      <c r="B14" s="14">
        <v>5.31</v>
      </c>
      <c r="C14" s="14">
        <v>7.43</v>
      </c>
      <c r="D14" s="14">
        <v>9.03</v>
      </c>
    </row>
    <row r="15" spans="1:4" ht="12.75">
      <c r="A15">
        <v>5</v>
      </c>
      <c r="B15" s="14">
        <v>5.3</v>
      </c>
      <c r="C15" s="14">
        <v>7.45</v>
      </c>
      <c r="D15" s="14">
        <v>9.01</v>
      </c>
    </row>
    <row r="16" spans="1:4" ht="12.75">
      <c r="A16">
        <v>6</v>
      </c>
      <c r="B16" s="14">
        <v>5.32</v>
      </c>
      <c r="C16" s="14">
        <v>7.41</v>
      </c>
      <c r="D16" s="14">
        <v>9.01</v>
      </c>
    </row>
    <row r="17" spans="1:4" ht="12.75">
      <c r="A17">
        <v>7</v>
      </c>
      <c r="B17" s="14">
        <v>5.33</v>
      </c>
      <c r="C17" s="14">
        <v>7.41</v>
      </c>
      <c r="D17" s="14">
        <v>9.01</v>
      </c>
    </row>
    <row r="18" spans="1:4" ht="12.75">
      <c r="A18">
        <v>8</v>
      </c>
      <c r="B18" s="14">
        <v>5.31</v>
      </c>
      <c r="C18" s="14">
        <v>7.45</v>
      </c>
      <c r="D18" s="14">
        <v>9</v>
      </c>
    </row>
    <row r="19" spans="1:4" ht="12.75">
      <c r="A19">
        <v>9</v>
      </c>
      <c r="B19" s="14">
        <v>5.3</v>
      </c>
      <c r="C19" s="14">
        <v>7.44</v>
      </c>
      <c r="D19" s="14">
        <v>9</v>
      </c>
    </row>
    <row r="20" spans="1:4" ht="12.75">
      <c r="A20">
        <v>10</v>
      </c>
      <c r="B20" s="14">
        <v>5.3</v>
      </c>
      <c r="C20" s="14">
        <v>7.44</v>
      </c>
      <c r="D20" s="14">
        <v>8.99</v>
      </c>
    </row>
    <row r="21" spans="1:4" ht="12.75">
      <c r="A21">
        <v>11</v>
      </c>
      <c r="B21" s="15"/>
      <c r="C21" s="14"/>
      <c r="D21" s="14"/>
    </row>
    <row r="22" spans="1:4" ht="12.75">
      <c r="A22">
        <v>12</v>
      </c>
      <c r="B22" s="15"/>
      <c r="C22" s="14"/>
      <c r="D22" s="14"/>
    </row>
    <row r="23" spans="1:4" ht="15" customHeight="1">
      <c r="A23" s="1" t="s">
        <v>2</v>
      </c>
      <c r="B23">
        <v>10</v>
      </c>
      <c r="C23">
        <v>10</v>
      </c>
      <c r="D23">
        <v>10</v>
      </c>
    </row>
    <row r="24" spans="1:4" ht="15" customHeight="1">
      <c r="A24" s="1" t="s">
        <v>1</v>
      </c>
      <c r="B24">
        <v>9</v>
      </c>
      <c r="C24">
        <v>9</v>
      </c>
      <c r="D24">
        <v>9</v>
      </c>
    </row>
    <row r="25" spans="1:4" ht="15" customHeight="1">
      <c r="A25" s="1" t="s">
        <v>8</v>
      </c>
      <c r="B25">
        <v>2.262</v>
      </c>
      <c r="C25">
        <v>2.262</v>
      </c>
      <c r="D25">
        <v>2.262</v>
      </c>
    </row>
    <row r="26" spans="1:4" ht="15" customHeight="1">
      <c r="A26" s="1" t="s">
        <v>3</v>
      </c>
      <c r="B26">
        <v>5.315</v>
      </c>
      <c r="C26">
        <v>7.43</v>
      </c>
      <c r="D26">
        <v>9.013</v>
      </c>
    </row>
    <row r="27" spans="1:4" ht="15" customHeight="1">
      <c r="A27" s="1" t="s">
        <v>4</v>
      </c>
      <c r="B27">
        <v>0.01269296</v>
      </c>
      <c r="C27">
        <v>0.01490712</v>
      </c>
      <c r="D27">
        <v>0.01494434</v>
      </c>
    </row>
    <row r="28" spans="1:4" ht="15" customHeight="1">
      <c r="A28" s="1" t="s">
        <v>5</v>
      </c>
      <c r="B28">
        <v>0.23881383</v>
      </c>
      <c r="C28">
        <v>0.20063418</v>
      </c>
      <c r="D28">
        <v>0.16580873</v>
      </c>
    </row>
    <row r="29" spans="1:4" ht="15" customHeight="1">
      <c r="A29" s="1" t="s">
        <v>7</v>
      </c>
      <c r="B29">
        <v>0.00401386</v>
      </c>
      <c r="C29">
        <v>0.00471405</v>
      </c>
      <c r="D29">
        <v>0.00472582</v>
      </c>
    </row>
    <row r="30" spans="1:4" ht="15" customHeight="1">
      <c r="A30" s="1" t="s">
        <v>6</v>
      </c>
      <c r="B30">
        <v>0.0007552</v>
      </c>
      <c r="C30">
        <v>0.00063446</v>
      </c>
      <c r="D30">
        <v>0.00052433</v>
      </c>
    </row>
    <row r="31" spans="1:4" ht="15" customHeight="1">
      <c r="A31" s="1" t="s">
        <v>17</v>
      </c>
      <c r="B31">
        <v>0.04060696</v>
      </c>
      <c r="C31">
        <v>0.04769046</v>
      </c>
      <c r="D31">
        <v>0.04780954</v>
      </c>
    </row>
    <row r="32" ht="12.75">
      <c r="A32" t="s">
        <v>0</v>
      </c>
    </row>
    <row r="33" spans="1:5" ht="12.75">
      <c r="A33" s="1" t="s">
        <v>13</v>
      </c>
      <c r="B33">
        <v>3.1788931</v>
      </c>
      <c r="C33" s="1" t="s">
        <v>14</v>
      </c>
      <c r="D33" s="3">
        <v>0.72139303</v>
      </c>
      <c r="E33" s="5" t="str">
        <f>IF(B33&gt;=D33," OK Varianze OMOGENEE","NO Varianze NON_Omogenee")</f>
        <v> OK Varianze OMOGENEE</v>
      </c>
    </row>
    <row r="35" spans="1:6" ht="12.75">
      <c r="A35" s="1" t="s">
        <v>15</v>
      </c>
      <c r="B35">
        <v>0.00145</v>
      </c>
      <c r="C35">
        <v>0.002</v>
      </c>
      <c r="D35">
        <v>0.00201</v>
      </c>
      <c r="F35" s="4"/>
    </row>
    <row r="36" spans="1:2" ht="24.75" customHeight="1">
      <c r="A36" s="1" t="s">
        <v>16</v>
      </c>
      <c r="B36" s="6">
        <v>0.01422049</v>
      </c>
    </row>
    <row r="37" spans="1:2" ht="21" customHeight="1">
      <c r="A37" s="1" t="s">
        <v>9</v>
      </c>
      <c r="B37" s="56">
        <v>0.0454938</v>
      </c>
    </row>
    <row r="39" spans="1:2" ht="12.75">
      <c r="A39" s="1" t="s">
        <v>18</v>
      </c>
      <c r="B39" s="52">
        <v>7.25266667</v>
      </c>
    </row>
    <row r="40" spans="1:2" ht="12.75">
      <c r="A40" s="1" t="s">
        <v>24</v>
      </c>
      <c r="B40" s="3">
        <v>0.00449691</v>
      </c>
    </row>
    <row r="41" ht="12.75">
      <c r="A41" s="1" t="s">
        <v>19</v>
      </c>
    </row>
    <row r="42" spans="2:5" ht="12.75">
      <c r="B42" t="s">
        <v>21</v>
      </c>
      <c r="C42" s="10">
        <v>1</v>
      </c>
      <c r="D42" t="s">
        <v>20</v>
      </c>
      <c r="E42" s="10">
        <v>2</v>
      </c>
    </row>
    <row r="43" spans="1:4" ht="12.75">
      <c r="A43" s="1" t="s">
        <v>24</v>
      </c>
      <c r="B43" s="9">
        <v>0.01422049</v>
      </c>
      <c r="D43" s="9">
        <v>0.0100554</v>
      </c>
    </row>
    <row r="44" ht="12.75">
      <c r="A44" s="1" t="s">
        <v>22</v>
      </c>
    </row>
  </sheetData>
  <sheetProtection password="9ACA" sheet="1"/>
  <mergeCells count="5">
    <mergeCell ref="A1:D3"/>
    <mergeCell ref="E1:K3"/>
    <mergeCell ref="L1:M1"/>
    <mergeCell ref="L2:M2"/>
    <mergeCell ref="L3:M3"/>
  </mergeCells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="85" zoomScaleNormal="85" workbookViewId="0" topLeftCell="A1">
      <selection activeCell="H10" sqref="H10"/>
    </sheetView>
  </sheetViews>
  <sheetFormatPr defaultColWidth="9.140625" defaultRowHeight="12.75"/>
  <cols>
    <col min="1" max="1" width="6.140625" style="16" customWidth="1"/>
    <col min="2" max="2" width="7.7109375" style="16" customWidth="1"/>
    <col min="3" max="3" width="18.7109375" style="16" customWidth="1"/>
    <col min="4" max="4" width="14.421875" style="16" customWidth="1"/>
    <col min="5" max="5" width="16.57421875" style="16" customWidth="1"/>
    <col min="6" max="6" width="10.8515625" style="16" customWidth="1"/>
    <col min="7" max="8" width="7.7109375" style="16" customWidth="1"/>
    <col min="9" max="9" width="10.57421875" style="16" customWidth="1"/>
    <col min="10" max="10" width="7.7109375" style="16" customWidth="1"/>
    <col min="11" max="11" width="8.00390625" style="16" customWidth="1"/>
    <col min="12" max="13" width="7.140625" style="16" customWidth="1"/>
    <col min="14" max="14" width="15.421875" style="16" customWidth="1"/>
    <col min="15" max="15" width="8.8515625" style="16" customWidth="1"/>
    <col min="16" max="16" width="16.00390625" style="16" customWidth="1"/>
    <col min="17" max="17" width="14.57421875" style="16" customWidth="1"/>
    <col min="18" max="18" width="7.7109375" style="16" customWidth="1"/>
    <col min="19" max="16384" width="9.140625" style="16" customWidth="1"/>
  </cols>
  <sheetData>
    <row r="1" spans="1:13" ht="14.25">
      <c r="A1" s="85" t="s">
        <v>62</v>
      </c>
      <c r="B1" s="85"/>
      <c r="C1" s="85"/>
      <c r="D1" s="85"/>
      <c r="E1" s="81" t="s">
        <v>23</v>
      </c>
      <c r="F1" s="81"/>
      <c r="G1" s="81"/>
      <c r="H1" s="81"/>
      <c r="I1" s="81"/>
      <c r="J1" s="81"/>
      <c r="K1" s="81"/>
      <c r="L1" s="82" t="s">
        <v>25</v>
      </c>
      <c r="M1" s="82"/>
    </row>
    <row r="2" spans="1:13" ht="14.25">
      <c r="A2" s="85"/>
      <c r="B2" s="85"/>
      <c r="C2" s="85"/>
      <c r="D2" s="85"/>
      <c r="E2" s="81"/>
      <c r="F2" s="81"/>
      <c r="G2" s="81"/>
      <c r="H2" s="81"/>
      <c r="I2" s="81"/>
      <c r="J2" s="81"/>
      <c r="K2" s="81"/>
      <c r="L2" s="82" t="s">
        <v>26</v>
      </c>
      <c r="M2" s="82"/>
    </row>
    <row r="3" spans="1:13" ht="14.25">
      <c r="A3" s="85"/>
      <c r="B3" s="85"/>
      <c r="C3" s="85"/>
      <c r="D3" s="85"/>
      <c r="E3" s="81"/>
      <c r="F3" s="81"/>
      <c r="G3" s="81"/>
      <c r="H3" s="81"/>
      <c r="I3" s="81"/>
      <c r="J3" s="81"/>
      <c r="K3" s="81"/>
      <c r="L3" s="83">
        <v>40957</v>
      </c>
      <c r="M3" s="82"/>
    </row>
    <row r="4" spans="1:13" ht="20.25">
      <c r="A4" s="47"/>
      <c r="B4" s="47"/>
      <c r="C4" s="47"/>
      <c r="D4" s="47"/>
      <c r="E4" s="48"/>
      <c r="F4" s="48"/>
      <c r="G4" s="48"/>
      <c r="H4" s="48"/>
      <c r="I4" s="48"/>
      <c r="J4" s="48"/>
      <c r="K4" s="48"/>
      <c r="L4" s="49"/>
      <c r="M4" s="50"/>
    </row>
    <row r="5" spans="1:13" ht="14.25">
      <c r="A5" s="11" t="s">
        <v>27</v>
      </c>
      <c r="B5" s="84" t="str">
        <f>Ripetibilita_sr!A8</f>
        <v>EN ISO 10523:2012</v>
      </c>
      <c r="C5" s="84"/>
      <c r="D5" s="84"/>
      <c r="E5"/>
      <c r="F5"/>
      <c r="G5"/>
      <c r="H5"/>
      <c r="I5"/>
      <c r="J5"/>
      <c r="K5"/>
      <c r="L5"/>
      <c r="M5"/>
    </row>
    <row r="6" spans="1:13" ht="14.25">
      <c r="A6"/>
      <c r="B6"/>
      <c r="C6"/>
      <c r="D6"/>
      <c r="H6"/>
      <c r="I6"/>
      <c r="J6"/>
      <c r="K6"/>
      <c r="L6"/>
      <c r="M6"/>
    </row>
    <row r="7" spans="1:13" ht="14.25">
      <c r="A7" s="53" t="s">
        <v>61</v>
      </c>
      <c r="D7" s="12"/>
      <c r="E7" s="8"/>
      <c r="F7"/>
      <c r="G7"/>
      <c r="H7"/>
      <c r="I7"/>
      <c r="J7"/>
      <c r="K7"/>
      <c r="L7"/>
      <c r="M7"/>
    </row>
    <row r="8" spans="1:13" ht="14.25">
      <c r="A8" s="11"/>
      <c r="C8"/>
      <c r="D8" s="13"/>
      <c r="E8"/>
      <c r="F8"/>
      <c r="G8"/>
      <c r="H8"/>
      <c r="I8"/>
      <c r="J8"/>
      <c r="K8"/>
      <c r="L8"/>
      <c r="M8"/>
    </row>
    <row r="9" spans="1:13" ht="15.75">
      <c r="A9" s="54" t="s">
        <v>29</v>
      </c>
      <c r="C9"/>
      <c r="D9" s="13"/>
      <c r="E9"/>
      <c r="G9" s="42" t="s">
        <v>83</v>
      </c>
      <c r="I9" s="63">
        <v>41323</v>
      </c>
      <c r="K9"/>
      <c r="L9"/>
      <c r="M9"/>
    </row>
    <row r="11" spans="1:3" ht="15">
      <c r="A11" s="42" t="s">
        <v>60</v>
      </c>
      <c r="B11" s="51">
        <f>F46</f>
        <v>7.521654</v>
      </c>
      <c r="C11" s="16" t="s">
        <v>94</v>
      </c>
    </row>
    <row r="14" spans="2:6" ht="15">
      <c r="B14" s="17" t="s">
        <v>26</v>
      </c>
      <c r="C14" s="18" t="s">
        <v>35</v>
      </c>
      <c r="D14" s="18" t="s">
        <v>36</v>
      </c>
      <c r="F14" s="18" t="s">
        <v>30</v>
      </c>
    </row>
    <row r="15" spans="1:11" ht="15">
      <c r="A15" s="16">
        <v>1</v>
      </c>
      <c r="B15" s="19">
        <f>K16</f>
        <v>4</v>
      </c>
      <c r="C15" s="20">
        <v>0.012</v>
      </c>
      <c r="D15" s="21">
        <v>0.0001</v>
      </c>
      <c r="F15" s="16">
        <v>0.012</v>
      </c>
      <c r="I15" s="42" t="s">
        <v>67</v>
      </c>
      <c r="K15" s="61">
        <v>0.01</v>
      </c>
    </row>
    <row r="16" spans="1:15" ht="15">
      <c r="A16" s="16">
        <v>2</v>
      </c>
      <c r="B16" s="19">
        <f>K17</f>
        <v>7</v>
      </c>
      <c r="C16" s="20">
        <v>0.012</v>
      </c>
      <c r="D16" s="21">
        <v>0.0001</v>
      </c>
      <c r="F16" s="16">
        <v>0.012</v>
      </c>
      <c r="I16" s="42" t="s">
        <v>68</v>
      </c>
      <c r="K16" s="62">
        <v>4</v>
      </c>
      <c r="L16" s="41" t="s">
        <v>73</v>
      </c>
      <c r="M16" s="61">
        <v>0.02</v>
      </c>
      <c r="N16" s="18" t="s">
        <v>75</v>
      </c>
      <c r="O16" s="61">
        <v>0.001</v>
      </c>
    </row>
    <row r="17" spans="2:24" ht="15">
      <c r="B17" s="18" t="s">
        <v>31</v>
      </c>
      <c r="C17" s="18" t="s">
        <v>37</v>
      </c>
      <c r="D17" s="18" t="s">
        <v>38</v>
      </c>
      <c r="F17" s="18" t="s">
        <v>30</v>
      </c>
      <c r="I17" s="42" t="s">
        <v>69</v>
      </c>
      <c r="K17" s="62">
        <v>7</v>
      </c>
      <c r="L17" s="41" t="s">
        <v>73</v>
      </c>
      <c r="M17" s="61">
        <v>0.02</v>
      </c>
      <c r="N17" s="18" t="s">
        <v>75</v>
      </c>
      <c r="O17" s="61">
        <v>0.002</v>
      </c>
      <c r="W17" s="16" t="str">
        <f>S35</f>
        <v>U pH1 diff tra valore vero e dichiarato</v>
      </c>
      <c r="X17" s="19">
        <f>R35</f>
        <v>0.277374</v>
      </c>
    </row>
    <row r="18" spans="1:24" ht="15">
      <c r="A18" s="16">
        <v>1</v>
      </c>
      <c r="B18" s="16">
        <f>K18</f>
        <v>180</v>
      </c>
      <c r="C18" s="19">
        <v>0.58</v>
      </c>
      <c r="D18" s="16">
        <v>1.5</v>
      </c>
      <c r="F18" s="16">
        <v>1.608229</v>
      </c>
      <c r="G18" s="16" t="s">
        <v>32</v>
      </c>
      <c r="I18" s="42" t="s">
        <v>70</v>
      </c>
      <c r="K18" s="61">
        <v>180</v>
      </c>
      <c r="W18" s="16" t="str">
        <f>S36</f>
        <v>U pH2 diff tra valore vero e dichiarato</v>
      </c>
      <c r="X18" s="19">
        <f>R36</f>
        <v>12.642333</v>
      </c>
    </row>
    <row r="19" spans="1:24" ht="15">
      <c r="A19" s="16">
        <v>2</v>
      </c>
      <c r="B19" s="16">
        <f>K19</f>
        <v>6</v>
      </c>
      <c r="C19" s="19">
        <v>0.58</v>
      </c>
      <c r="D19" s="16">
        <v>1.5</v>
      </c>
      <c r="F19" s="16">
        <v>1.608229</v>
      </c>
      <c r="G19" s="16" t="s">
        <v>32</v>
      </c>
      <c r="I19" s="42" t="s">
        <v>71</v>
      </c>
      <c r="K19" s="61">
        <v>6</v>
      </c>
      <c r="W19" s="16" t="str">
        <f>S37</f>
        <v>E1 Rep+JP</v>
      </c>
      <c r="X19" s="19">
        <f>R37</f>
        <v>1.594555</v>
      </c>
    </row>
    <row r="20" spans="2:24" ht="16.5">
      <c r="B20" s="18" t="s">
        <v>39</v>
      </c>
      <c r="C20" s="18" t="s">
        <v>40</v>
      </c>
      <c r="F20" s="18" t="s">
        <v>30</v>
      </c>
      <c r="I20" s="42" t="s">
        <v>72</v>
      </c>
      <c r="K20" s="61">
        <v>-24.5</v>
      </c>
      <c r="W20" s="16" t="str">
        <f>S38</f>
        <v>E2 Rep+JP</v>
      </c>
      <c r="X20" s="19">
        <f>R38</f>
        <v>72.941088</v>
      </c>
    </row>
    <row r="21" spans="2:24" ht="15">
      <c r="B21" s="16">
        <f>K20</f>
        <v>-24.5</v>
      </c>
      <c r="C21" s="19">
        <v>0</v>
      </c>
      <c r="F21" s="20">
        <f>C21</f>
        <v>0</v>
      </c>
      <c r="G21" s="16" t="s">
        <v>32</v>
      </c>
      <c r="I21" s="42" t="s">
        <v>78</v>
      </c>
      <c r="K21" s="61">
        <f>Ripetibilita_sr!B43</f>
        <v>0.014220486005134324</v>
      </c>
      <c r="W21" s="16" t="str">
        <f>S40</f>
        <v>U Misura pH incognito</v>
      </c>
      <c r="X21" s="19">
        <f>R40</f>
        <v>12.091123</v>
      </c>
    </row>
    <row r="22" spans="2:24" ht="16.5">
      <c r="B22" s="18" t="s">
        <v>41</v>
      </c>
      <c r="C22" s="18"/>
      <c r="F22" s="18" t="s">
        <v>30</v>
      </c>
      <c r="I22" s="27" t="s">
        <v>46</v>
      </c>
      <c r="K22" s="61">
        <v>3</v>
      </c>
      <c r="W22" s="16" t="str">
        <f>S41</f>
        <v>U Eis isopotenziale</v>
      </c>
      <c r="X22" s="19">
        <f>R41</f>
        <v>0.422834</v>
      </c>
    </row>
    <row r="23" spans="2:24" ht="15">
      <c r="B23" s="16">
        <v>0</v>
      </c>
      <c r="C23" s="19"/>
      <c r="F23" s="20">
        <v>14.433757</v>
      </c>
      <c r="G23" s="16" t="s">
        <v>32</v>
      </c>
      <c r="I23" s="42" t="s">
        <v>74</v>
      </c>
      <c r="K23" s="61">
        <v>0.1</v>
      </c>
      <c r="W23" s="16" t="str">
        <f>S42</f>
        <v>U alfa coeff. di temperatura della pendenza</v>
      </c>
      <c r="X23" s="19">
        <f>R42</f>
        <v>0.029808</v>
      </c>
    </row>
    <row r="24" spans="2:24" ht="16.5">
      <c r="B24" s="22" t="s">
        <v>42</v>
      </c>
      <c r="C24" s="23" t="s">
        <v>43</v>
      </c>
      <c r="D24" s="23" t="s">
        <v>44</v>
      </c>
      <c r="E24" s="18" t="s">
        <v>45</v>
      </c>
      <c r="F24" s="18" t="s">
        <v>30</v>
      </c>
      <c r="I24" s="42" t="s">
        <v>76</v>
      </c>
      <c r="K24" s="61">
        <v>25</v>
      </c>
      <c r="L24" s="16" t="s">
        <v>77</v>
      </c>
      <c r="W24" s="16" t="str">
        <f>S43</f>
        <v>U da diff. Temperatura caibrazionel./misura</v>
      </c>
      <c r="X24" s="19">
        <f>R43</f>
        <v>0.000884</v>
      </c>
    </row>
    <row r="25" spans="2:24" ht="15">
      <c r="B25" s="16">
        <v>0</v>
      </c>
      <c r="C25" s="24">
        <v>0.0082102</v>
      </c>
      <c r="D25" s="66">
        <v>0.002886751</v>
      </c>
      <c r="E25" s="16">
        <v>0.01</v>
      </c>
      <c r="F25" s="20">
        <v>0.013</v>
      </c>
      <c r="I25" s="42" t="s">
        <v>79</v>
      </c>
      <c r="K25" s="61">
        <v>0.01</v>
      </c>
      <c r="X25" s="19"/>
    </row>
    <row r="26" spans="2:12" ht="15">
      <c r="B26" s="25" t="s">
        <v>33</v>
      </c>
      <c r="C26" s="24"/>
      <c r="D26" s="26"/>
      <c r="E26" s="26"/>
      <c r="F26" s="18" t="s">
        <v>30</v>
      </c>
      <c r="I26" s="42" t="s">
        <v>80</v>
      </c>
      <c r="K26" s="61">
        <v>1</v>
      </c>
      <c r="L26" s="16" t="s">
        <v>32</v>
      </c>
    </row>
    <row r="27" spans="2:12" ht="15">
      <c r="B27" s="21">
        <v>0.003354</v>
      </c>
      <c r="C27" s="24"/>
      <c r="F27" s="24">
        <f>0.00053</f>
        <v>0.00053</v>
      </c>
      <c r="I27" s="42" t="s">
        <v>81</v>
      </c>
      <c r="K27" s="61">
        <v>1</v>
      </c>
      <c r="L27" s="16" t="s">
        <v>32</v>
      </c>
    </row>
    <row r="28" spans="3:12" ht="15">
      <c r="C28" s="24"/>
      <c r="F28" s="20"/>
      <c r="I28" s="42" t="s">
        <v>82</v>
      </c>
      <c r="K28" s="61">
        <v>1.5</v>
      </c>
      <c r="L28" s="16" t="s">
        <v>32</v>
      </c>
    </row>
    <row r="29" spans="2:12" ht="15">
      <c r="B29" s="27" t="s">
        <v>46</v>
      </c>
      <c r="C29" s="26"/>
      <c r="D29" s="26"/>
      <c r="E29" s="26"/>
      <c r="F29" s="18" t="s">
        <v>30</v>
      </c>
      <c r="I29" s="1" t="s">
        <v>95</v>
      </c>
      <c r="K29" s="68">
        <v>25</v>
      </c>
      <c r="L29" s="16" t="s">
        <v>32</v>
      </c>
    </row>
    <row r="30" spans="2:6" ht="14.25">
      <c r="B30" s="16">
        <f>K22</f>
        <v>3</v>
      </c>
      <c r="C30" s="20"/>
      <c r="F30" s="20">
        <v>0.08164965809277261</v>
      </c>
    </row>
    <row r="31" ht="14.25">
      <c r="F31" s="20"/>
    </row>
    <row r="33" spans="1:18" s="34" customFormat="1" ht="17.25">
      <c r="A33" s="28" t="s">
        <v>47</v>
      </c>
      <c r="B33" s="29" t="s">
        <v>48</v>
      </c>
      <c r="C33" s="29" t="s">
        <v>49</v>
      </c>
      <c r="D33" s="30" t="s">
        <v>50</v>
      </c>
      <c r="E33" s="30" t="s">
        <v>51</v>
      </c>
      <c r="F33" s="30" t="s">
        <v>39</v>
      </c>
      <c r="G33" s="31" t="s">
        <v>42</v>
      </c>
      <c r="H33" s="30" t="s">
        <v>41</v>
      </c>
      <c r="I33" s="31" t="s">
        <v>33</v>
      </c>
      <c r="J33" s="32" t="s">
        <v>46</v>
      </c>
      <c r="K33" s="30" t="s">
        <v>52</v>
      </c>
      <c r="L33" s="33" t="s">
        <v>53</v>
      </c>
      <c r="M33" s="29" t="s">
        <v>34</v>
      </c>
      <c r="N33" s="29" t="s">
        <v>26</v>
      </c>
      <c r="O33" s="33" t="s">
        <v>54</v>
      </c>
      <c r="P33" s="29" t="s">
        <v>55</v>
      </c>
      <c r="Q33" s="29" t="s">
        <v>84</v>
      </c>
      <c r="R33" s="29" t="s">
        <v>85</v>
      </c>
    </row>
    <row r="34" spans="1:19" ht="14.25">
      <c r="A34" s="35"/>
      <c r="B34" s="16">
        <v>4</v>
      </c>
      <c r="C34" s="16">
        <v>7</v>
      </c>
      <c r="D34" s="16">
        <v>180</v>
      </c>
      <c r="E34" s="16">
        <v>6</v>
      </c>
      <c r="F34" s="16">
        <v>-24.5</v>
      </c>
      <c r="G34" s="16">
        <v>0</v>
      </c>
      <c r="H34" s="16">
        <v>0</v>
      </c>
      <c r="I34" s="16">
        <v>0.003354</v>
      </c>
      <c r="J34" s="35">
        <v>3</v>
      </c>
      <c r="K34" s="16">
        <v>0</v>
      </c>
      <c r="L34" s="16">
        <v>0</v>
      </c>
      <c r="M34" s="16">
        <v>58</v>
      </c>
      <c r="N34" s="16">
        <v>7.521654</v>
      </c>
      <c r="O34" s="16">
        <v>0</v>
      </c>
      <c r="P34" s="16">
        <v>0</v>
      </c>
      <c r="Q34" s="16">
        <v>0</v>
      </c>
      <c r="R34" s="8">
        <v>0</v>
      </c>
      <c r="S34"/>
    </row>
    <row r="35" spans="1:19" ht="16.5">
      <c r="A35" s="37" t="s">
        <v>48</v>
      </c>
      <c r="B35" s="16">
        <v>4.0012</v>
      </c>
      <c r="C35" s="16">
        <v>7</v>
      </c>
      <c r="D35" s="16">
        <v>180</v>
      </c>
      <c r="E35" s="16">
        <v>6</v>
      </c>
      <c r="F35" s="16">
        <v>-24.5</v>
      </c>
      <c r="G35" s="16">
        <v>0</v>
      </c>
      <c r="H35" s="16">
        <v>0</v>
      </c>
      <c r="I35" s="16">
        <v>0.003354</v>
      </c>
      <c r="J35" s="35">
        <v>3</v>
      </c>
      <c r="K35" s="16">
        <v>0.011547</v>
      </c>
      <c r="L35" s="16">
        <v>0.001155</v>
      </c>
      <c r="M35" s="16">
        <v>58.022333</v>
      </c>
      <c r="N35" s="16">
        <v>7.521453</v>
      </c>
      <c r="O35" s="16">
        <v>-0.173885</v>
      </c>
      <c r="P35" s="16">
        <v>-0.002008</v>
      </c>
      <c r="Q35" s="16">
        <v>4E-06</v>
      </c>
      <c r="R35" s="8">
        <v>0.277374</v>
      </c>
      <c r="S35" s="65" t="s">
        <v>90</v>
      </c>
    </row>
    <row r="36" spans="1:19" ht="16.5">
      <c r="A36" s="37" t="s">
        <v>49</v>
      </c>
      <c r="B36" s="16">
        <v>4</v>
      </c>
      <c r="C36" s="16">
        <v>7.0012</v>
      </c>
      <c r="D36" s="16">
        <v>180</v>
      </c>
      <c r="E36" s="16">
        <v>6</v>
      </c>
      <c r="F36" s="16">
        <v>-24.5</v>
      </c>
      <c r="G36" s="16">
        <v>0</v>
      </c>
      <c r="H36" s="16">
        <v>0</v>
      </c>
      <c r="I36" s="16">
        <v>0.003354</v>
      </c>
      <c r="J36" s="35">
        <v>3</v>
      </c>
      <c r="K36" s="16">
        <v>0.011548</v>
      </c>
      <c r="L36" s="16">
        <v>0.001155</v>
      </c>
      <c r="M36" s="16">
        <v>57.977683</v>
      </c>
      <c r="N36" s="16">
        <v>7.52301</v>
      </c>
      <c r="O36" s="16">
        <v>1.173885</v>
      </c>
      <c r="P36" s="16">
        <v>0.013556</v>
      </c>
      <c r="Q36" s="16">
        <v>0.000184</v>
      </c>
      <c r="R36" s="8">
        <v>12.642333</v>
      </c>
      <c r="S36" s="65" t="s">
        <v>91</v>
      </c>
    </row>
    <row r="37" spans="1:19" ht="17.25">
      <c r="A37" s="38" t="s">
        <v>50</v>
      </c>
      <c r="B37" s="16">
        <v>4</v>
      </c>
      <c r="C37" s="16">
        <v>7</v>
      </c>
      <c r="D37" s="16">
        <v>180.1608229</v>
      </c>
      <c r="E37" s="16">
        <v>6</v>
      </c>
      <c r="F37" s="16">
        <v>-24.5</v>
      </c>
      <c r="G37" s="16">
        <v>0</v>
      </c>
      <c r="H37" s="16">
        <v>0</v>
      </c>
      <c r="I37" s="16">
        <v>0.003354</v>
      </c>
      <c r="J37" s="35">
        <v>3</v>
      </c>
      <c r="K37" s="16">
        <v>1.607275</v>
      </c>
      <c r="L37" s="16">
        <v>0.160728</v>
      </c>
      <c r="M37" s="16">
        <v>58.053576</v>
      </c>
      <c r="N37" s="16">
        <v>7.521173</v>
      </c>
      <c r="O37" s="16">
        <v>-0.002995</v>
      </c>
      <c r="P37" s="16">
        <v>-0.004814</v>
      </c>
      <c r="Q37" s="16">
        <v>2.3E-05</v>
      </c>
      <c r="R37" s="8">
        <v>1.594555</v>
      </c>
      <c r="S37" s="38" t="s">
        <v>86</v>
      </c>
    </row>
    <row r="38" spans="1:19" ht="17.25">
      <c r="A38" s="38" t="s">
        <v>51</v>
      </c>
      <c r="B38" s="16">
        <v>4</v>
      </c>
      <c r="C38" s="16">
        <v>7</v>
      </c>
      <c r="D38" s="16">
        <v>180</v>
      </c>
      <c r="E38" s="16">
        <v>6.1608229</v>
      </c>
      <c r="F38" s="16">
        <v>-24.5</v>
      </c>
      <c r="G38" s="16">
        <v>0</v>
      </c>
      <c r="H38" s="16">
        <v>0</v>
      </c>
      <c r="I38" s="16">
        <v>0.003354</v>
      </c>
      <c r="J38" s="35">
        <v>3</v>
      </c>
      <c r="K38" s="16">
        <v>1.607275</v>
      </c>
      <c r="L38" s="16">
        <v>0.160728</v>
      </c>
      <c r="M38" s="16">
        <v>57.946424</v>
      </c>
      <c r="N38" s="16">
        <v>7.52491</v>
      </c>
      <c r="O38" s="16">
        <v>0.020258</v>
      </c>
      <c r="P38" s="16">
        <v>0.03256</v>
      </c>
      <c r="Q38" s="16">
        <v>0.00106</v>
      </c>
      <c r="R38" s="8">
        <v>72.941088</v>
      </c>
      <c r="S38" s="38" t="s">
        <v>87</v>
      </c>
    </row>
    <row r="39" spans="1:19" ht="16.5">
      <c r="A39" s="38" t="s">
        <v>39</v>
      </c>
      <c r="B39" s="16">
        <v>4</v>
      </c>
      <c r="C39" s="16">
        <v>7</v>
      </c>
      <c r="D39" s="16">
        <v>180</v>
      </c>
      <c r="E39" s="16">
        <v>6</v>
      </c>
      <c r="F39" s="16">
        <v>-24.5</v>
      </c>
      <c r="G39" s="16">
        <v>0</v>
      </c>
      <c r="H39" s="16">
        <v>0</v>
      </c>
      <c r="I39" s="16">
        <v>0.003354</v>
      </c>
      <c r="J39" s="35">
        <v>3</v>
      </c>
      <c r="K39" s="16">
        <v>0</v>
      </c>
      <c r="L39" s="16">
        <v>0</v>
      </c>
      <c r="M39" s="16">
        <v>58</v>
      </c>
      <c r="N39" s="16">
        <v>7.521654</v>
      </c>
      <c r="O39" s="16">
        <v>0</v>
      </c>
      <c r="P39" s="16">
        <v>0</v>
      </c>
      <c r="Q39" s="16">
        <v>0</v>
      </c>
      <c r="R39" s="8">
        <v>0</v>
      </c>
      <c r="S39"/>
    </row>
    <row r="40" spans="1:19" ht="16.5">
      <c r="A40" s="39" t="s">
        <v>42</v>
      </c>
      <c r="B40" s="16">
        <v>4</v>
      </c>
      <c r="C40" s="16">
        <v>7</v>
      </c>
      <c r="D40" s="16">
        <v>180</v>
      </c>
      <c r="E40" s="16">
        <v>6</v>
      </c>
      <c r="F40" s="16">
        <v>-24.5</v>
      </c>
      <c r="G40" s="16">
        <v>0.0013</v>
      </c>
      <c r="H40" s="16">
        <v>0</v>
      </c>
      <c r="I40" s="16">
        <v>0.003354</v>
      </c>
      <c r="J40" s="35">
        <v>3</v>
      </c>
      <c r="K40" s="16">
        <v>0.013257</v>
      </c>
      <c r="L40" s="16">
        <v>0.001326</v>
      </c>
      <c r="M40" s="16">
        <v>58</v>
      </c>
      <c r="N40" s="16">
        <v>7.52298</v>
      </c>
      <c r="O40" s="16">
        <v>1</v>
      </c>
      <c r="P40" s="16">
        <v>0.013257</v>
      </c>
      <c r="Q40" s="16">
        <v>0.000176</v>
      </c>
      <c r="R40" s="8">
        <v>12.091123</v>
      </c>
      <c r="S40" t="s">
        <v>88</v>
      </c>
    </row>
    <row r="41" spans="1:19" ht="16.5">
      <c r="A41" s="38" t="s">
        <v>41</v>
      </c>
      <c r="B41" s="16">
        <v>4</v>
      </c>
      <c r="C41" s="16">
        <v>7</v>
      </c>
      <c r="D41" s="16">
        <v>180</v>
      </c>
      <c r="E41" s="16">
        <v>6</v>
      </c>
      <c r="F41" s="16">
        <v>-24.5</v>
      </c>
      <c r="G41" s="16">
        <v>0</v>
      </c>
      <c r="H41" s="16">
        <v>1.443376</v>
      </c>
      <c r="I41" s="16">
        <v>0.003354</v>
      </c>
      <c r="J41" s="35">
        <v>3</v>
      </c>
      <c r="K41" s="16">
        <v>14.433757</v>
      </c>
      <c r="L41" s="16">
        <v>1.443376</v>
      </c>
      <c r="M41" s="16">
        <v>58</v>
      </c>
      <c r="N41" s="16">
        <v>7.521406</v>
      </c>
      <c r="O41" s="16">
        <v>-0.000172</v>
      </c>
      <c r="P41" s="16">
        <v>-0.002479</v>
      </c>
      <c r="Q41" s="16">
        <v>6E-06</v>
      </c>
      <c r="R41" s="8">
        <v>0.422834</v>
      </c>
      <c r="S41" t="s">
        <v>92</v>
      </c>
    </row>
    <row r="42" spans="1:19" ht="15">
      <c r="A42" s="39" t="s">
        <v>33</v>
      </c>
      <c r="B42" s="16">
        <v>4</v>
      </c>
      <c r="C42" s="16">
        <v>7</v>
      </c>
      <c r="D42" s="16">
        <v>180</v>
      </c>
      <c r="E42" s="16">
        <v>6</v>
      </c>
      <c r="F42" s="16">
        <v>-24.5</v>
      </c>
      <c r="G42" s="16">
        <v>0</v>
      </c>
      <c r="H42" s="16">
        <v>0</v>
      </c>
      <c r="I42" s="16">
        <v>0.003407</v>
      </c>
      <c r="J42" s="35">
        <v>3</v>
      </c>
      <c r="K42" s="16">
        <v>0.00053</v>
      </c>
      <c r="L42" s="16">
        <v>5.3E-05</v>
      </c>
      <c r="M42" s="16">
        <v>58</v>
      </c>
      <c r="N42" s="16">
        <v>7.521588</v>
      </c>
      <c r="O42" s="16">
        <v>-1.241924</v>
      </c>
      <c r="P42" s="16">
        <v>-0.000658</v>
      </c>
      <c r="Q42" s="16">
        <v>0</v>
      </c>
      <c r="R42" s="8">
        <v>0.029808</v>
      </c>
      <c r="S42" t="s">
        <v>93</v>
      </c>
    </row>
    <row r="43" spans="1:19" ht="15">
      <c r="A43" s="40" t="s">
        <v>46</v>
      </c>
      <c r="B43" s="16">
        <v>4</v>
      </c>
      <c r="C43" s="16">
        <v>7</v>
      </c>
      <c r="D43" s="16">
        <v>180</v>
      </c>
      <c r="E43" s="16">
        <v>6</v>
      </c>
      <c r="F43" s="16">
        <v>-24.5</v>
      </c>
      <c r="G43" s="16">
        <v>0</v>
      </c>
      <c r="H43" s="16">
        <v>0</v>
      </c>
      <c r="I43" s="16">
        <v>0.003354</v>
      </c>
      <c r="J43" s="35">
        <v>3.008165</v>
      </c>
      <c r="K43" s="16">
        <v>0.08165</v>
      </c>
      <c r="L43" s="16">
        <v>0.008165</v>
      </c>
      <c r="M43" s="16">
        <v>58</v>
      </c>
      <c r="N43" s="16">
        <v>7.521643</v>
      </c>
      <c r="O43" s="16">
        <v>-0.001389</v>
      </c>
      <c r="P43" s="16">
        <v>-0.000113</v>
      </c>
      <c r="Q43" s="16">
        <v>0</v>
      </c>
      <c r="R43" s="8">
        <v>0.000884</v>
      </c>
      <c r="S43" t="s">
        <v>89</v>
      </c>
    </row>
    <row r="44" spans="10:19" ht="14.25">
      <c r="J44" s="35"/>
      <c r="Q44" s="21">
        <v>0.001453</v>
      </c>
      <c r="R44" s="64">
        <v>100</v>
      </c>
      <c r="S44"/>
    </row>
    <row r="45" spans="9:16" ht="18.75">
      <c r="I45" s="41" t="s">
        <v>56</v>
      </c>
      <c r="J45" s="16">
        <v>0.038124</v>
      </c>
      <c r="P45" s="34"/>
    </row>
    <row r="46" spans="3:13" ht="16.5">
      <c r="C46" s="42" t="s">
        <v>96</v>
      </c>
      <c r="D46" s="86">
        <v>0.0454938</v>
      </c>
      <c r="E46" s="43" t="s">
        <v>57</v>
      </c>
      <c r="F46" s="51">
        <v>7.521654</v>
      </c>
      <c r="G46" s="43"/>
      <c r="H46" s="43"/>
      <c r="I46" s="45" t="s">
        <v>58</v>
      </c>
      <c r="J46" s="67">
        <v>0.076249</v>
      </c>
      <c r="K46" s="43"/>
      <c r="L46" s="43"/>
      <c r="M46" s="45" t="s">
        <v>59</v>
      </c>
    </row>
    <row r="47" spans="6:10" ht="14.25">
      <c r="F47" s="19"/>
      <c r="G47" s="19"/>
      <c r="H47" s="19"/>
      <c r="I47" s="19"/>
      <c r="J47" s="19"/>
    </row>
    <row r="48" spans="6:10" ht="14.25">
      <c r="F48" s="19"/>
      <c r="G48" s="19"/>
      <c r="H48" s="19"/>
      <c r="I48" s="19"/>
      <c r="J48" s="19"/>
    </row>
    <row r="51" spans="6:10" ht="14.25">
      <c r="F51" s="19"/>
      <c r="G51" s="19"/>
      <c r="H51" s="19"/>
      <c r="I51" s="19"/>
      <c r="J51" s="20"/>
    </row>
    <row r="52" spans="6:10" ht="14.25">
      <c r="F52" s="19"/>
      <c r="G52" s="19"/>
      <c r="H52" s="19"/>
      <c r="I52" s="19"/>
      <c r="J52" s="19"/>
    </row>
  </sheetData>
  <sheetProtection password="9ACA" sheet="1"/>
  <mergeCells count="6">
    <mergeCell ref="B5:D5"/>
    <mergeCell ref="A1:D3"/>
    <mergeCell ref="E1:K3"/>
    <mergeCell ref="L1:M1"/>
    <mergeCell ref="L2:M2"/>
    <mergeCell ref="L3:M3"/>
  </mergeCells>
  <printOptions/>
  <pageMargins left="0.5" right="0.5" top="0.7" bottom="0.5" header="0.5" footer="0.5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6.00390625" style="0" customWidth="1"/>
    <col min="2" max="4" width="12.7109375" style="0" customWidth="1"/>
    <col min="6" max="6" width="21.7109375" style="0" customWidth="1"/>
  </cols>
  <sheetData>
    <row r="1" spans="1:13" ht="12.75" customHeight="1">
      <c r="A1" s="72" t="s">
        <v>64</v>
      </c>
      <c r="B1" s="73"/>
      <c r="C1" s="73"/>
      <c r="D1" s="74"/>
      <c r="E1" s="81" t="s">
        <v>23</v>
      </c>
      <c r="F1" s="81"/>
      <c r="G1" s="81"/>
      <c r="H1" s="81"/>
      <c r="I1" s="81"/>
      <c r="J1" s="81"/>
      <c r="K1" s="81"/>
      <c r="L1" s="82" t="s">
        <v>25</v>
      </c>
      <c r="M1" s="82"/>
    </row>
    <row r="2" spans="1:13" ht="12.75">
      <c r="A2" s="75"/>
      <c r="B2" s="76"/>
      <c r="C2" s="76"/>
      <c r="D2" s="77"/>
      <c r="E2" s="81"/>
      <c r="F2" s="81"/>
      <c r="G2" s="81"/>
      <c r="H2" s="81"/>
      <c r="I2" s="81"/>
      <c r="J2" s="81"/>
      <c r="K2" s="81"/>
      <c r="L2" s="82" t="s">
        <v>65</v>
      </c>
      <c r="M2" s="82"/>
    </row>
    <row r="3" spans="1:13" ht="12.75">
      <c r="A3" s="78"/>
      <c r="B3" s="79"/>
      <c r="C3" s="79"/>
      <c r="D3" s="80"/>
      <c r="E3" s="81"/>
      <c r="F3" s="81"/>
      <c r="G3" s="81"/>
      <c r="H3" s="81"/>
      <c r="I3" s="81"/>
      <c r="J3" s="81"/>
      <c r="K3" s="81"/>
      <c r="L3" s="83">
        <v>41323</v>
      </c>
      <c r="M3" s="82"/>
    </row>
    <row r="7" spans="1:6" ht="12.75">
      <c r="A7" t="s">
        <v>27</v>
      </c>
      <c r="E7" t="s">
        <v>66</v>
      </c>
      <c r="F7" s="60">
        <v>41323</v>
      </c>
    </row>
    <row r="8" ht="12.75">
      <c r="A8" s="14" t="s">
        <v>28</v>
      </c>
    </row>
    <row r="9" spans="2:4" ht="12.75">
      <c r="B9" t="s">
        <v>10</v>
      </c>
      <c r="C9" t="s">
        <v>11</v>
      </c>
      <c r="D9" t="s">
        <v>12</v>
      </c>
    </row>
    <row r="11" spans="1:4" ht="12.75">
      <c r="A11">
        <v>1</v>
      </c>
      <c r="B11" s="58">
        <v>5.32</v>
      </c>
      <c r="C11" s="58">
        <v>7.42</v>
      </c>
      <c r="D11" s="58">
        <v>9.02</v>
      </c>
    </row>
    <row r="12" spans="1:4" ht="12.75">
      <c r="A12">
        <v>2</v>
      </c>
      <c r="B12" s="58">
        <v>5.33</v>
      </c>
      <c r="C12" s="58">
        <v>7.42</v>
      </c>
      <c r="D12" s="58">
        <v>9.02</v>
      </c>
    </row>
    <row r="13" spans="1:4" ht="12.75">
      <c r="A13">
        <v>3</v>
      </c>
      <c r="B13" s="58">
        <v>5.33</v>
      </c>
      <c r="C13" s="58">
        <v>7.43</v>
      </c>
      <c r="D13" s="58">
        <v>9.04</v>
      </c>
    </row>
    <row r="14" spans="1:4" ht="12.75">
      <c r="A14">
        <v>4</v>
      </c>
      <c r="B14" s="58">
        <v>5.31</v>
      </c>
      <c r="C14" s="58">
        <v>7.43</v>
      </c>
      <c r="D14" s="58">
        <v>9.03</v>
      </c>
    </row>
    <row r="15" spans="1:4" ht="12.75">
      <c r="A15">
        <v>5</v>
      </c>
      <c r="B15" s="58">
        <v>5.3</v>
      </c>
      <c r="C15" s="58">
        <v>7.45</v>
      </c>
      <c r="D15" s="58">
        <v>9.01</v>
      </c>
    </row>
    <row r="16" spans="1:4" ht="12.75">
      <c r="A16">
        <v>6</v>
      </c>
      <c r="B16" s="58">
        <v>5.32</v>
      </c>
      <c r="C16" s="58">
        <v>7.41</v>
      </c>
      <c r="D16" s="58">
        <v>9.01</v>
      </c>
    </row>
    <row r="17" spans="1:4" ht="12.75">
      <c r="A17">
        <v>7</v>
      </c>
      <c r="B17" s="58">
        <v>5.33</v>
      </c>
      <c r="C17" s="58">
        <v>7.41</v>
      </c>
      <c r="D17" s="58">
        <v>9.01</v>
      </c>
    </row>
    <row r="18" spans="1:4" ht="12.75">
      <c r="A18">
        <v>8</v>
      </c>
      <c r="B18" s="58">
        <v>5.31</v>
      </c>
      <c r="C18" s="58">
        <v>7.45</v>
      </c>
      <c r="D18" s="58">
        <v>9</v>
      </c>
    </row>
    <row r="19" spans="1:4" ht="12.75">
      <c r="A19">
        <v>9</v>
      </c>
      <c r="B19" s="58">
        <v>5.3</v>
      </c>
      <c r="C19" s="58">
        <v>7.44</v>
      </c>
      <c r="D19" s="58">
        <v>9</v>
      </c>
    </row>
    <row r="20" spans="1:4" ht="12.75">
      <c r="A20">
        <v>10</v>
      </c>
      <c r="B20" s="58">
        <v>5.3</v>
      </c>
      <c r="C20" s="58">
        <v>7.44</v>
      </c>
      <c r="D20" s="58">
        <v>8.99</v>
      </c>
    </row>
    <row r="21" spans="1:4" ht="12.75">
      <c r="A21">
        <v>11</v>
      </c>
      <c r="B21" s="59"/>
      <c r="C21" s="58"/>
      <c r="D21" s="58"/>
    </row>
    <row r="22" spans="1:4" ht="12.75">
      <c r="A22">
        <v>12</v>
      </c>
      <c r="B22" s="59"/>
      <c r="C22" s="58"/>
      <c r="D22" s="58"/>
    </row>
    <row r="23" spans="1:4" ht="15" customHeight="1">
      <c r="A23" s="1" t="s">
        <v>2</v>
      </c>
      <c r="B23">
        <f>COUNTA(B10:B22)</f>
        <v>10</v>
      </c>
      <c r="C23">
        <f>COUNTA(C10:C22)</f>
        <v>10</v>
      </c>
      <c r="D23">
        <f>COUNTA(D10:D22)</f>
        <v>10</v>
      </c>
    </row>
    <row r="24" spans="1:4" ht="15" customHeight="1">
      <c r="A24" s="1" t="s">
        <v>1</v>
      </c>
      <c r="B24">
        <f>B23-1</f>
        <v>9</v>
      </c>
      <c r="C24">
        <f>C23-1</f>
        <v>9</v>
      </c>
      <c r="D24">
        <f>D23-1</f>
        <v>9</v>
      </c>
    </row>
    <row r="25" spans="1:4" ht="15" customHeight="1">
      <c r="A25" s="1" t="s">
        <v>8</v>
      </c>
      <c r="B25">
        <f>TINV(0.05,B24)</f>
        <v>2.262157158173583</v>
      </c>
      <c r="C25">
        <f>TINV(0.05,C24)</f>
        <v>2.262157158173583</v>
      </c>
      <c r="D25">
        <f>TINV(0.05,D24)</f>
        <v>2.262157158173583</v>
      </c>
    </row>
    <row r="26" spans="1:4" ht="15" customHeight="1">
      <c r="A26" s="1" t="s">
        <v>3</v>
      </c>
      <c r="B26">
        <f>AVERAGE(B11:B20)</f>
        <v>5.3149999999999995</v>
      </c>
      <c r="C26">
        <f>AVERAGE(C11:C20)</f>
        <v>7.43</v>
      </c>
      <c r="D26">
        <f>AVERAGE(D11:D20)</f>
        <v>9.012999999999998</v>
      </c>
    </row>
    <row r="27" spans="1:4" ht="15" customHeight="1">
      <c r="A27" s="1" t="s">
        <v>4</v>
      </c>
      <c r="B27" s="2">
        <f>STDEV(B11:B20)</f>
        <v>0.012692955176440004</v>
      </c>
      <c r="C27" s="2">
        <f>STDEV(C11:C20)</f>
        <v>0.014907119849998677</v>
      </c>
      <c r="D27" s="2">
        <f>STDEV(D11:D20)</f>
        <v>0.014944341180972943</v>
      </c>
    </row>
    <row r="28" spans="1:4" ht="15" customHeight="1">
      <c r="A28" s="1" t="s">
        <v>5</v>
      </c>
      <c r="B28">
        <f>(B27/B26)*100</f>
        <v>0.23881383210611487</v>
      </c>
      <c r="C28">
        <f>(C27/C26)*100</f>
        <v>0.20063418371465244</v>
      </c>
      <c r="D28">
        <f>(D27/D26)*100</f>
        <v>0.16580873383970873</v>
      </c>
    </row>
    <row r="29" spans="1:4" ht="15" customHeight="1">
      <c r="A29" s="1" t="s">
        <v>7</v>
      </c>
      <c r="B29">
        <f>B27/(SQRT(B23))</f>
        <v>0.0040138648595974815</v>
      </c>
      <c r="C29">
        <f>C27/(SQRT(C23))</f>
        <v>0.004714045207910342</v>
      </c>
      <c r="D29">
        <f>D27/(SQRT(D23))</f>
        <v>0.004725815626252507</v>
      </c>
    </row>
    <row r="30" spans="1:4" ht="15" customHeight="1">
      <c r="A30" s="1" t="s">
        <v>6</v>
      </c>
      <c r="B30" s="1">
        <f>B29/B26</f>
        <v>0.0007551956462083691</v>
      </c>
      <c r="C30" s="1">
        <f>C29/C26</f>
        <v>0.0006344609970269639</v>
      </c>
      <c r="D30" s="1">
        <f>D29/D26</f>
        <v>0.0005243332548821156</v>
      </c>
    </row>
    <row r="31" spans="1:4" ht="15" customHeight="1">
      <c r="A31" s="1" t="s">
        <v>17</v>
      </c>
      <c r="B31">
        <f>(B27*B25)*SQRT(2)</f>
        <v>0.04060696372134644</v>
      </c>
      <c r="C31">
        <f>(C27*C25)*SQRT(2)</f>
        <v>0.04769046030054897</v>
      </c>
      <c r="D31">
        <f>(D27*D25)*SQRT(2)</f>
        <v>0.0478095377900321</v>
      </c>
    </row>
    <row r="32" ht="12.75">
      <c r="A32" t="s">
        <v>0</v>
      </c>
    </row>
    <row r="33" spans="1:5" ht="12.75">
      <c r="A33" s="1" t="s">
        <v>13</v>
      </c>
      <c r="B33">
        <f>FINV(0.05,B24,D24)</f>
        <v>3.1788931045809843</v>
      </c>
      <c r="C33" s="1" t="s">
        <v>14</v>
      </c>
      <c r="D33" s="3">
        <f>B27^2/D27^2</f>
        <v>0.7213930348259193</v>
      </c>
      <c r="E33" s="5" t="str">
        <f>IF(B33&gt;=D33," OK Varianze OMOGENEE","NO Varianze NON_Omogenee")</f>
        <v> OK Varianze OMOGENEE</v>
      </c>
    </row>
    <row r="35" spans="1:6" ht="12.75">
      <c r="A35" s="1" t="s">
        <v>15</v>
      </c>
      <c r="B35">
        <f>((B27)^2)*B24</f>
        <v>0.001450000000000036</v>
      </c>
      <c r="C35">
        <f>((C27)^2)*C24</f>
        <v>0.0020000000000000213</v>
      </c>
      <c r="D35">
        <f>((D27)^2)*D24</f>
        <v>0.002009999999999914</v>
      </c>
      <c r="F35" s="4"/>
    </row>
    <row r="36" spans="1:2" ht="24.75" customHeight="1">
      <c r="A36" s="1" t="s">
        <v>16</v>
      </c>
      <c r="B36" s="6">
        <f>SQRT((B35+C35+D35)/(B24+C24+D24))</f>
        <v>0.014220486005134324</v>
      </c>
    </row>
    <row r="37" spans="1:2" ht="21" customHeight="1">
      <c r="A37" s="1" t="s">
        <v>9</v>
      </c>
      <c r="B37" s="7">
        <f>(B36*B25)*SQRT(2)</f>
        <v>0.04549379961431189</v>
      </c>
    </row>
    <row r="39" spans="1:2" ht="12.75">
      <c r="A39" s="1" t="s">
        <v>18</v>
      </c>
      <c r="B39" s="52">
        <f>AVERAGE(B26:D26)</f>
        <v>7.2526666666666655</v>
      </c>
    </row>
    <row r="40" spans="1:2" ht="12.75">
      <c r="A40" s="1" t="s">
        <v>24</v>
      </c>
      <c r="B40" s="3">
        <f>(B36/SQRT(B23))</f>
        <v>0.004496912521077335</v>
      </c>
    </row>
    <row r="41" ht="12.75">
      <c r="A41" s="1" t="s">
        <v>19</v>
      </c>
    </row>
    <row r="42" spans="2:5" ht="12.75">
      <c r="B42" t="s">
        <v>21</v>
      </c>
      <c r="C42" s="10">
        <v>1</v>
      </c>
      <c r="D42" t="s">
        <v>20</v>
      </c>
      <c r="E42" s="10">
        <v>2</v>
      </c>
    </row>
    <row r="43" spans="1:4" ht="12.75">
      <c r="A43" s="1" t="s">
        <v>24</v>
      </c>
      <c r="B43" s="9">
        <f>B40*SQRT($B$23/$C$42)</f>
        <v>0.014220486005134324</v>
      </c>
      <c r="D43" s="9">
        <f>B40*SQRT(B23/E42)</f>
        <v>0.010055402085998878</v>
      </c>
    </row>
    <row r="44" ht="12.75">
      <c r="A44" s="1" t="s">
        <v>22</v>
      </c>
    </row>
  </sheetData>
  <sheetProtection password="9ACA" sheet="1"/>
  <mergeCells count="5">
    <mergeCell ref="A1:D3"/>
    <mergeCell ref="E1:K3"/>
    <mergeCell ref="L1:M1"/>
    <mergeCell ref="L2:M2"/>
    <mergeCell ref="L3:M3"/>
  </mergeCells>
  <printOptions/>
  <pageMargins left="0.75" right="0.75" top="1" bottom="1" header="0.5" footer="0.5"/>
  <pageSetup fitToHeight="1" fitToWidth="1" horizontalDpi="300" verticalDpi="3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85" zoomScaleNormal="85" workbookViewId="0" topLeftCell="A1">
      <selection activeCell="G5" sqref="G5"/>
    </sheetView>
  </sheetViews>
  <sheetFormatPr defaultColWidth="9.140625" defaultRowHeight="12.75"/>
  <cols>
    <col min="1" max="1" width="6.140625" style="16" customWidth="1"/>
    <col min="2" max="2" width="7.7109375" style="16" customWidth="1"/>
    <col min="3" max="3" width="18.7109375" style="16" customWidth="1"/>
    <col min="4" max="4" width="14.421875" style="16" customWidth="1"/>
    <col min="5" max="5" width="16.57421875" style="16" customWidth="1"/>
    <col min="6" max="6" width="10.8515625" style="16" customWidth="1"/>
    <col min="7" max="8" width="7.7109375" style="16" customWidth="1"/>
    <col min="9" max="9" width="10.57421875" style="16" customWidth="1"/>
    <col min="10" max="10" width="7.7109375" style="16" customWidth="1"/>
    <col min="11" max="11" width="8.00390625" style="16" customWidth="1"/>
    <col min="12" max="13" width="7.140625" style="16" customWidth="1"/>
    <col min="14" max="14" width="15.421875" style="16" customWidth="1"/>
    <col min="15" max="15" width="8.8515625" style="16" customWidth="1"/>
    <col min="16" max="16" width="16.00390625" style="16" customWidth="1"/>
    <col min="17" max="17" width="14.57421875" style="16" customWidth="1"/>
    <col min="18" max="18" width="7.7109375" style="16" customWidth="1"/>
    <col min="19" max="16384" width="9.140625" style="16" customWidth="1"/>
  </cols>
  <sheetData>
    <row r="1" spans="1:13" ht="14.25">
      <c r="A1" s="85" t="s">
        <v>62</v>
      </c>
      <c r="B1" s="85"/>
      <c r="C1" s="85"/>
      <c r="D1" s="85"/>
      <c r="E1" s="81" t="s">
        <v>23</v>
      </c>
      <c r="F1" s="81"/>
      <c r="G1" s="81"/>
      <c r="H1" s="81"/>
      <c r="I1" s="81"/>
      <c r="J1" s="81"/>
      <c r="K1" s="81"/>
      <c r="L1" s="82" t="s">
        <v>25</v>
      </c>
      <c r="M1" s="82"/>
    </row>
    <row r="2" spans="1:13" ht="14.25">
      <c r="A2" s="85"/>
      <c r="B2" s="85"/>
      <c r="C2" s="85"/>
      <c r="D2" s="85"/>
      <c r="E2" s="81"/>
      <c r="F2" s="81"/>
      <c r="G2" s="81"/>
      <c r="H2" s="81"/>
      <c r="I2" s="81"/>
      <c r="J2" s="81"/>
      <c r="K2" s="81"/>
      <c r="L2" s="82" t="s">
        <v>26</v>
      </c>
      <c r="M2" s="82"/>
    </row>
    <row r="3" spans="1:13" ht="14.25">
      <c r="A3" s="85"/>
      <c r="B3" s="85"/>
      <c r="C3" s="85"/>
      <c r="D3" s="85"/>
      <c r="E3" s="81"/>
      <c r="F3" s="81"/>
      <c r="G3" s="81"/>
      <c r="H3" s="81"/>
      <c r="I3" s="81"/>
      <c r="J3" s="81"/>
      <c r="K3" s="81"/>
      <c r="L3" s="83">
        <v>41323</v>
      </c>
      <c r="M3" s="82"/>
    </row>
    <row r="4" spans="1:13" ht="20.25">
      <c r="A4" s="47"/>
      <c r="B4" s="47"/>
      <c r="C4" s="47"/>
      <c r="D4" s="47"/>
      <c r="E4" s="48"/>
      <c r="F4" s="48"/>
      <c r="G4" s="48"/>
      <c r="H4" s="48"/>
      <c r="I4" s="48"/>
      <c r="J4" s="48"/>
      <c r="K4" s="48"/>
      <c r="L4" s="49"/>
      <c r="M4" s="50"/>
    </row>
    <row r="5" spans="1:13" ht="14.25">
      <c r="A5" s="11" t="s">
        <v>27</v>
      </c>
      <c r="B5" s="84" t="str">
        <f>Ripetibilita_sr!A8</f>
        <v>EN ISO 10523:2012</v>
      </c>
      <c r="C5" s="84"/>
      <c r="D5" s="84"/>
      <c r="E5"/>
      <c r="F5"/>
      <c r="G5"/>
      <c r="H5"/>
      <c r="I5"/>
      <c r="J5"/>
      <c r="K5"/>
      <c r="L5"/>
      <c r="M5"/>
    </row>
    <row r="6" spans="1:13" ht="14.25">
      <c r="A6"/>
      <c r="B6"/>
      <c r="C6"/>
      <c r="D6"/>
      <c r="H6"/>
      <c r="I6"/>
      <c r="J6"/>
      <c r="K6"/>
      <c r="L6"/>
      <c r="M6"/>
    </row>
    <row r="7" spans="1:13" ht="14.25">
      <c r="A7" s="53" t="s">
        <v>61</v>
      </c>
      <c r="D7" s="12"/>
      <c r="E7" s="8"/>
      <c r="F7"/>
      <c r="G7"/>
      <c r="H7"/>
      <c r="I7"/>
      <c r="J7"/>
      <c r="K7"/>
      <c r="L7"/>
      <c r="M7"/>
    </row>
    <row r="8" spans="1:13" ht="14.25">
      <c r="A8" s="11"/>
      <c r="C8"/>
      <c r="D8" s="13"/>
      <c r="E8"/>
      <c r="F8"/>
      <c r="G8"/>
      <c r="H8"/>
      <c r="I8"/>
      <c r="J8"/>
      <c r="K8"/>
      <c r="L8"/>
      <c r="M8"/>
    </row>
    <row r="9" spans="1:13" ht="15">
      <c r="A9" s="54" t="s">
        <v>29</v>
      </c>
      <c r="C9"/>
      <c r="D9" s="13"/>
      <c r="E9"/>
      <c r="G9" s="42" t="s">
        <v>83</v>
      </c>
      <c r="I9" s="70">
        <v>41323</v>
      </c>
      <c r="K9"/>
      <c r="L9"/>
      <c r="M9"/>
    </row>
    <row r="10" ht="14.25"/>
    <row r="11" spans="1:3" ht="15">
      <c r="A11" s="42" t="s">
        <v>60</v>
      </c>
      <c r="B11" s="51">
        <f>F46</f>
        <v>7.521654082142721</v>
      </c>
      <c r="C11" s="16" t="s">
        <v>94</v>
      </c>
    </row>
    <row r="12" ht="14.25"/>
    <row r="13" ht="14.25"/>
    <row r="14" spans="2:6" ht="15">
      <c r="B14" s="17" t="s">
        <v>26</v>
      </c>
      <c r="C14" s="18" t="s">
        <v>35</v>
      </c>
      <c r="D14" s="18" t="s">
        <v>36</v>
      </c>
      <c r="F14" s="18" t="s">
        <v>30</v>
      </c>
    </row>
    <row r="15" spans="1:11" ht="15">
      <c r="A15" s="16">
        <v>1</v>
      </c>
      <c r="B15" s="19">
        <f>K16</f>
        <v>4</v>
      </c>
      <c r="C15" s="20">
        <f>M16/SQRT(3)</f>
        <v>0.011547005383792516</v>
      </c>
      <c r="D15" s="21">
        <f>O16*K23/SQRT(3)</f>
        <v>5.7735026918962585E-05</v>
      </c>
      <c r="F15" s="16">
        <f>SQRT(C15^2+D15^2)</f>
        <v>0.011547149720457714</v>
      </c>
      <c r="I15" s="42" t="s">
        <v>67</v>
      </c>
      <c r="K15" s="68">
        <v>0.01</v>
      </c>
    </row>
    <row r="16" spans="1:15" ht="15">
      <c r="A16" s="16">
        <v>2</v>
      </c>
      <c r="B16" s="19">
        <f>K17</f>
        <v>7</v>
      </c>
      <c r="C16" s="20">
        <f>M17/SQRT(3)</f>
        <v>0.011547005383792516</v>
      </c>
      <c r="D16" s="21">
        <f>O17*K23/SQRT(3)</f>
        <v>0.00011547005383792517</v>
      </c>
      <c r="F16" s="16">
        <f>SQRT(C16^2+D16^2)</f>
        <v>0.01154758271962867</v>
      </c>
      <c r="I16" s="42" t="s">
        <v>68</v>
      </c>
      <c r="K16" s="69">
        <v>4</v>
      </c>
      <c r="L16" s="41" t="s">
        <v>73</v>
      </c>
      <c r="M16" s="68">
        <v>0.02</v>
      </c>
      <c r="N16" s="18" t="s">
        <v>75</v>
      </c>
      <c r="O16" s="68">
        <v>0.001</v>
      </c>
    </row>
    <row r="17" spans="2:24" ht="15">
      <c r="B17" s="18" t="s">
        <v>31</v>
      </c>
      <c r="C17" s="18" t="s">
        <v>37</v>
      </c>
      <c r="D17" s="18" t="s">
        <v>38</v>
      </c>
      <c r="F17" s="18" t="s">
        <v>30</v>
      </c>
      <c r="I17" s="42" t="s">
        <v>69</v>
      </c>
      <c r="K17" s="69">
        <v>7</v>
      </c>
      <c r="L17" s="41" t="s">
        <v>73</v>
      </c>
      <c r="M17" s="68">
        <v>0.02</v>
      </c>
      <c r="N17" s="18" t="s">
        <v>75</v>
      </c>
      <c r="O17" s="68">
        <v>0.002</v>
      </c>
      <c r="W17" s="16" t="str">
        <f>S35</f>
        <v>U pH1 diff tra valore vero e dichiarato</v>
      </c>
      <c r="X17" s="19">
        <f>R35</f>
        <v>0.27737447740903637</v>
      </c>
    </row>
    <row r="18" spans="1:24" ht="15">
      <c r="A18" s="16">
        <v>1</v>
      </c>
      <c r="B18" s="16">
        <f>K18</f>
        <v>180</v>
      </c>
      <c r="C18" s="19">
        <f>K26/SQRT(3)</f>
        <v>0.5773502691896258</v>
      </c>
      <c r="D18" s="16">
        <f>K28</f>
        <v>1.5</v>
      </c>
      <c r="F18" s="16">
        <f>SQRT(C18^2+D18^2)</f>
        <v>1.6072751268321592</v>
      </c>
      <c r="G18" s="16" t="s">
        <v>32</v>
      </c>
      <c r="I18" s="42" t="s">
        <v>70</v>
      </c>
      <c r="K18" s="68">
        <v>180</v>
      </c>
      <c r="W18" s="16" t="str">
        <f>S36</f>
        <v>U pH2 diff tra valore vero e dichiarato</v>
      </c>
      <c r="X18" s="19">
        <f>R36</f>
        <v>12.642333306444007</v>
      </c>
    </row>
    <row r="19" spans="1:24" ht="15">
      <c r="A19" s="16">
        <v>2</v>
      </c>
      <c r="B19" s="16">
        <f>K19</f>
        <v>6</v>
      </c>
      <c r="C19" s="19">
        <f>K27/SQRT(3)</f>
        <v>0.5773502691896258</v>
      </c>
      <c r="D19" s="16">
        <f>K28</f>
        <v>1.5</v>
      </c>
      <c r="F19" s="16">
        <f>SQRT(C19^2+D19^2)</f>
        <v>1.6072751268321592</v>
      </c>
      <c r="G19" s="16" t="s">
        <v>32</v>
      </c>
      <c r="I19" s="42" t="s">
        <v>71</v>
      </c>
      <c r="K19" s="68">
        <v>6</v>
      </c>
      <c r="W19" s="16" t="str">
        <f>S37</f>
        <v>E1 Rep+JP</v>
      </c>
      <c r="X19" s="19">
        <f>R37</f>
        <v>1.5945546193372648</v>
      </c>
    </row>
    <row r="20" spans="2:24" ht="18.75">
      <c r="B20" s="18" t="s">
        <v>39</v>
      </c>
      <c r="C20" s="18" t="s">
        <v>40</v>
      </c>
      <c r="F20" s="18" t="s">
        <v>30</v>
      </c>
      <c r="I20" s="42" t="s">
        <v>72</v>
      </c>
      <c r="K20" s="68">
        <v>-24.5</v>
      </c>
      <c r="W20" s="16" t="str">
        <f>S38</f>
        <v>E2 Rep+JP</v>
      </c>
      <c r="X20" s="19">
        <f>R38</f>
        <v>72.94108812114402</v>
      </c>
    </row>
    <row r="21" spans="2:24" ht="15">
      <c r="B21" s="16">
        <f>K20</f>
        <v>-24.5</v>
      </c>
      <c r="C21" s="19">
        <v>0</v>
      </c>
      <c r="F21" s="20">
        <f>C21</f>
        <v>0</v>
      </c>
      <c r="G21" s="16" t="s">
        <v>32</v>
      </c>
      <c r="I21" s="42" t="s">
        <v>78</v>
      </c>
      <c r="K21" s="71">
        <f>Ripetibilita_sr!B43</f>
        <v>0.014220486005134324</v>
      </c>
      <c r="W21" s="16" t="str">
        <f>S40</f>
        <v>U Misura pH incognito</v>
      </c>
      <c r="X21" s="19">
        <f>R40</f>
        <v>12.091123154475524</v>
      </c>
    </row>
    <row r="22" spans="2:24" ht="18.75">
      <c r="B22" s="18" t="s">
        <v>41</v>
      </c>
      <c r="C22" s="18"/>
      <c r="F22" s="18" t="s">
        <v>30</v>
      </c>
      <c r="I22" s="27" t="s">
        <v>46</v>
      </c>
      <c r="K22" s="68">
        <v>3</v>
      </c>
      <c r="W22" s="16" t="str">
        <f>S41</f>
        <v>U Eis isopotenziale</v>
      </c>
      <c r="X22" s="19">
        <f>R41</f>
        <v>0.42283363660680484</v>
      </c>
    </row>
    <row r="23" spans="2:24" ht="15">
      <c r="B23" s="16">
        <v>0</v>
      </c>
      <c r="C23" s="19"/>
      <c r="F23" s="20">
        <f>K29/SQRT(3)</f>
        <v>14.433756729740645</v>
      </c>
      <c r="G23" s="16" t="s">
        <v>32</v>
      </c>
      <c r="I23" s="42" t="s">
        <v>74</v>
      </c>
      <c r="K23" s="68">
        <v>0.1</v>
      </c>
      <c r="W23" s="16" t="str">
        <f>S42</f>
        <v>U alfa coeff. di temperatura della pendenza</v>
      </c>
      <c r="X23" s="19">
        <f>R42</f>
        <v>0.029808201458606506</v>
      </c>
    </row>
    <row r="24" spans="2:24" ht="18.75">
      <c r="B24" s="22" t="s">
        <v>42</v>
      </c>
      <c r="C24" s="23" t="s">
        <v>43</v>
      </c>
      <c r="D24" s="23" t="s">
        <v>44</v>
      </c>
      <c r="E24" s="18" t="s">
        <v>45</v>
      </c>
      <c r="F24" s="18" t="s">
        <v>30</v>
      </c>
      <c r="I24" s="42" t="s">
        <v>76</v>
      </c>
      <c r="K24" s="68">
        <v>25</v>
      </c>
      <c r="L24" s="16" t="s">
        <v>77</v>
      </c>
      <c r="W24" s="16" t="str">
        <f>S43</f>
        <v>U da diff. Temperatura caibrazionel./misura</v>
      </c>
      <c r="X24" s="19">
        <f>R43</f>
        <v>0.0008844831247502137</v>
      </c>
    </row>
    <row r="25" spans="2:24" ht="15">
      <c r="B25" s="16">
        <v>0</v>
      </c>
      <c r="C25" s="24">
        <f>K21/SQRT(3)</f>
        <v>0.00821020142307161</v>
      </c>
      <c r="D25" s="16">
        <f>(K15/2)/SQRT(3)</f>
        <v>0.002886751345948129</v>
      </c>
      <c r="E25" s="16">
        <f>K25</f>
        <v>0.01</v>
      </c>
      <c r="F25" s="20">
        <f>SQRT(SUMSQ(C25:E25))</f>
        <v>0.013256724359386086</v>
      </c>
      <c r="I25" s="42" t="s">
        <v>79</v>
      </c>
      <c r="K25" s="68">
        <v>0.01</v>
      </c>
      <c r="X25" s="19"/>
    </row>
    <row r="26" spans="2:12" ht="15">
      <c r="B26" s="25" t="s">
        <v>33</v>
      </c>
      <c r="C26" s="26"/>
      <c r="D26" s="26"/>
      <c r="E26" s="26"/>
      <c r="F26" s="18" t="s">
        <v>30</v>
      </c>
      <c r="I26" s="42" t="s">
        <v>80</v>
      </c>
      <c r="K26" s="68">
        <v>1</v>
      </c>
      <c r="L26" s="16" t="s">
        <v>32</v>
      </c>
    </row>
    <row r="27" spans="2:12" ht="15">
      <c r="B27" s="21">
        <v>0.003354</v>
      </c>
      <c r="C27" s="24"/>
      <c r="F27" s="24">
        <f>0.00053</f>
        <v>0.00053</v>
      </c>
      <c r="I27" s="42" t="s">
        <v>81</v>
      </c>
      <c r="K27" s="68">
        <v>1</v>
      </c>
      <c r="L27" s="16" t="s">
        <v>32</v>
      </c>
    </row>
    <row r="28" spans="3:12" ht="15">
      <c r="C28" s="24"/>
      <c r="F28" s="20"/>
      <c r="I28" s="42" t="s">
        <v>82</v>
      </c>
      <c r="K28" s="68">
        <v>1.5</v>
      </c>
      <c r="L28" s="16" t="s">
        <v>32</v>
      </c>
    </row>
    <row r="29" spans="2:12" ht="15">
      <c r="B29" s="27" t="s">
        <v>46</v>
      </c>
      <c r="C29" s="26"/>
      <c r="D29" s="26"/>
      <c r="E29" s="26"/>
      <c r="F29" s="18" t="s">
        <v>30</v>
      </c>
      <c r="I29" s="1" t="s">
        <v>95</v>
      </c>
      <c r="K29" s="68">
        <v>25</v>
      </c>
      <c r="L29" s="16" t="s">
        <v>32</v>
      </c>
    </row>
    <row r="30" spans="2:6" ht="14.25">
      <c r="B30" s="16">
        <f>K22</f>
        <v>3</v>
      </c>
      <c r="C30" s="20"/>
      <c r="F30" s="20">
        <f>SQRT((K23*K23/3)+(K23*K23/3))</f>
        <v>0.08164965809277261</v>
      </c>
    </row>
    <row r="31" ht="14.25">
      <c r="F31" s="20"/>
    </row>
    <row r="33" spans="1:18" s="34" customFormat="1" ht="17.25">
      <c r="A33" s="28" t="s">
        <v>47</v>
      </c>
      <c r="B33" s="29" t="s">
        <v>48</v>
      </c>
      <c r="C33" s="29" t="s">
        <v>49</v>
      </c>
      <c r="D33" s="30" t="s">
        <v>50</v>
      </c>
      <c r="E33" s="30" t="s">
        <v>51</v>
      </c>
      <c r="F33" s="30" t="s">
        <v>39</v>
      </c>
      <c r="G33" s="31" t="s">
        <v>42</v>
      </c>
      <c r="H33" s="30" t="s">
        <v>41</v>
      </c>
      <c r="I33" s="31" t="s">
        <v>33</v>
      </c>
      <c r="J33" s="32" t="s">
        <v>46</v>
      </c>
      <c r="K33" s="30" t="s">
        <v>52</v>
      </c>
      <c r="L33" s="33" t="s">
        <v>53</v>
      </c>
      <c r="M33" s="29" t="s">
        <v>34</v>
      </c>
      <c r="N33" s="29" t="s">
        <v>26</v>
      </c>
      <c r="O33" s="33" t="s">
        <v>54</v>
      </c>
      <c r="P33" s="29" t="s">
        <v>55</v>
      </c>
      <c r="Q33" s="29" t="s">
        <v>84</v>
      </c>
      <c r="R33" s="29" t="s">
        <v>85</v>
      </c>
    </row>
    <row r="34" spans="1:19" ht="14.25">
      <c r="A34" s="35"/>
      <c r="B34" s="16">
        <f>B15</f>
        <v>4</v>
      </c>
      <c r="C34" s="16">
        <f>B16</f>
        <v>7</v>
      </c>
      <c r="D34" s="16">
        <f>B18</f>
        <v>180</v>
      </c>
      <c r="E34" s="16">
        <f>B19</f>
        <v>6</v>
      </c>
      <c r="F34" s="16">
        <f>B21</f>
        <v>-24.5</v>
      </c>
      <c r="G34" s="16">
        <f aca="true" t="shared" si="0" ref="G34:G39">$B$25</f>
        <v>0</v>
      </c>
      <c r="H34" s="16">
        <f aca="true" t="shared" si="1" ref="H34:H40">$B$23</f>
        <v>0</v>
      </c>
      <c r="I34" s="24">
        <f aca="true" t="shared" si="2" ref="I34:I41">$B$27</f>
        <v>0.003354</v>
      </c>
      <c r="J34" s="35">
        <f aca="true" t="shared" si="3" ref="J34:J42">$B$30</f>
        <v>3</v>
      </c>
      <c r="M34" s="19">
        <f aca="true" t="shared" si="4" ref="M34:M43">(E34-D34)/(B34-C34)</f>
        <v>58</v>
      </c>
      <c r="N34" s="36">
        <f aca="true" t="shared" si="5" ref="N34:N43">(H34-F34)/M34/(1+I34*J34)+(D34-H34)/M34+B34+G34</f>
        <v>7.521654082142721</v>
      </c>
      <c r="R34"/>
      <c r="S34"/>
    </row>
    <row r="35" spans="1:19" ht="16.5">
      <c r="A35" s="37" t="s">
        <v>48</v>
      </c>
      <c r="B35" s="21">
        <f>B$34+L35</f>
        <v>4.001154714972046</v>
      </c>
      <c r="C35" s="16">
        <f>C$34</f>
        <v>7</v>
      </c>
      <c r="D35" s="16">
        <f>D$34</f>
        <v>180</v>
      </c>
      <c r="E35" s="16">
        <f>E$34</f>
        <v>6</v>
      </c>
      <c r="F35" s="16">
        <f>F$34</f>
        <v>-24.5</v>
      </c>
      <c r="G35" s="16">
        <f t="shared" si="0"/>
        <v>0</v>
      </c>
      <c r="H35" s="16">
        <f t="shared" si="1"/>
        <v>0</v>
      </c>
      <c r="I35" s="24">
        <f t="shared" si="2"/>
        <v>0.003354</v>
      </c>
      <c r="J35" s="35">
        <f t="shared" si="3"/>
        <v>3</v>
      </c>
      <c r="K35" s="20">
        <f>F15</f>
        <v>0.011547149720457714</v>
      </c>
      <c r="L35" s="16">
        <f aca="true" t="shared" si="6" ref="L35:L43">K35/10</f>
        <v>0.0011547149720457714</v>
      </c>
      <c r="M35" s="19">
        <f t="shared" si="4"/>
        <v>58.022333085575646</v>
      </c>
      <c r="N35" s="36">
        <f t="shared" si="5"/>
        <v>7.521453294883095</v>
      </c>
      <c r="O35" s="20">
        <f aca="true" t="shared" si="7" ref="O35:O43">(N35-$N$34)/IF(L35=0,1,L35)</f>
        <v>-0.17388469404721027</v>
      </c>
      <c r="P35" s="21">
        <f aca="true" t="shared" si="8" ref="P35:P43">O35*K35</f>
        <v>-0.0020078725962591193</v>
      </c>
      <c r="Q35" s="21">
        <f>P35^2</f>
        <v>4.0315523628083365E-06</v>
      </c>
      <c r="R35" s="64">
        <f>(Q35/$Q$44)*100</f>
        <v>0.27737447740903637</v>
      </c>
      <c r="S35" s="65" t="s">
        <v>90</v>
      </c>
    </row>
    <row r="36" spans="1:19" ht="16.5">
      <c r="A36" s="37" t="s">
        <v>49</v>
      </c>
      <c r="B36" s="16">
        <f aca="true" t="shared" si="9" ref="B36:B43">B$34</f>
        <v>4</v>
      </c>
      <c r="C36" s="21">
        <f>C$34+L36</f>
        <v>7.001154758271963</v>
      </c>
      <c r="D36" s="16">
        <f>D$34</f>
        <v>180</v>
      </c>
      <c r="E36" s="16">
        <f>E$34</f>
        <v>6</v>
      </c>
      <c r="F36" s="16">
        <f>F$34</f>
        <v>-24.5</v>
      </c>
      <c r="G36" s="16">
        <f t="shared" si="0"/>
        <v>0</v>
      </c>
      <c r="H36" s="16">
        <f t="shared" si="1"/>
        <v>0</v>
      </c>
      <c r="I36" s="24">
        <f t="shared" si="2"/>
        <v>0.003354</v>
      </c>
      <c r="J36" s="35">
        <f t="shared" si="3"/>
        <v>3</v>
      </c>
      <c r="K36" s="20">
        <f>F16</f>
        <v>0.01154758271962867</v>
      </c>
      <c r="L36" s="16">
        <f t="shared" si="6"/>
        <v>0.001154758271962867</v>
      </c>
      <c r="M36" s="19">
        <f t="shared" si="4"/>
        <v>57.97768326355405</v>
      </c>
      <c r="N36" s="36">
        <f t="shared" si="5"/>
        <v>7.523009635203504</v>
      </c>
      <c r="O36" s="20">
        <f t="shared" si="7"/>
        <v>1.1738846940485528</v>
      </c>
      <c r="P36" s="21">
        <f t="shared" si="8"/>
        <v>0.013555530607831656</v>
      </c>
      <c r="Q36" s="21">
        <f aca="true" t="shared" si="10" ref="Q36:Q43">P36^2</f>
        <v>0.00018375241005986088</v>
      </c>
      <c r="R36" s="64">
        <f aca="true" t="shared" si="11" ref="R36:R43">(Q36/$Q$44)*100</f>
        <v>12.642333306444007</v>
      </c>
      <c r="S36" s="65" t="s">
        <v>91</v>
      </c>
    </row>
    <row r="37" spans="1:19" ht="17.25">
      <c r="A37" s="38" t="s">
        <v>50</v>
      </c>
      <c r="B37" s="16">
        <f t="shared" si="9"/>
        <v>4</v>
      </c>
      <c r="C37" s="16">
        <f aca="true" t="shared" si="12" ref="C37:C43">C$34</f>
        <v>7</v>
      </c>
      <c r="D37" s="20">
        <f>D$34+L37</f>
        <v>180.16072751268322</v>
      </c>
      <c r="E37" s="16">
        <f>E$34</f>
        <v>6</v>
      </c>
      <c r="F37" s="16">
        <f>F$34</f>
        <v>-24.5</v>
      </c>
      <c r="G37" s="16">
        <f t="shared" si="0"/>
        <v>0</v>
      </c>
      <c r="H37" s="16">
        <f t="shared" si="1"/>
        <v>0</v>
      </c>
      <c r="I37" s="24">
        <f t="shared" si="2"/>
        <v>0.003354</v>
      </c>
      <c r="J37" s="35">
        <f t="shared" si="3"/>
        <v>3</v>
      </c>
      <c r="K37" s="20">
        <f>F18</f>
        <v>1.6072751268321592</v>
      </c>
      <c r="L37" s="16">
        <f t="shared" si="6"/>
        <v>0.16072751268321592</v>
      </c>
      <c r="M37" s="19">
        <f t="shared" si="4"/>
        <v>58.05357583756108</v>
      </c>
      <c r="N37" s="36">
        <f t="shared" si="5"/>
        <v>7.521172663832742</v>
      </c>
      <c r="O37" s="20">
        <f t="shared" si="7"/>
        <v>-0.002995245194443603</v>
      </c>
      <c r="P37" s="21">
        <f t="shared" si="8"/>
        <v>-0.004814183099792757</v>
      </c>
      <c r="Q37" s="21">
        <f t="shared" si="10"/>
        <v>2.31763589183302E-05</v>
      </c>
      <c r="R37" s="64">
        <f t="shared" si="11"/>
        <v>1.5945546193372648</v>
      </c>
      <c r="S37" s="38" t="s">
        <v>86</v>
      </c>
    </row>
    <row r="38" spans="1:19" ht="17.25">
      <c r="A38" s="38" t="s">
        <v>51</v>
      </c>
      <c r="B38" s="16">
        <f t="shared" si="9"/>
        <v>4</v>
      </c>
      <c r="C38" s="16">
        <f t="shared" si="12"/>
        <v>7</v>
      </c>
      <c r="D38" s="16">
        <f aca="true" t="shared" si="13" ref="D38:D43">D$34</f>
        <v>180</v>
      </c>
      <c r="E38" s="19">
        <f>E$34+L38</f>
        <v>6.1607275126832155</v>
      </c>
      <c r="F38" s="16">
        <f>F$34</f>
        <v>-24.5</v>
      </c>
      <c r="G38" s="16">
        <f t="shared" si="0"/>
        <v>0</v>
      </c>
      <c r="H38" s="16">
        <f t="shared" si="1"/>
        <v>0</v>
      </c>
      <c r="I38" s="24">
        <f t="shared" si="2"/>
        <v>0.003354</v>
      </c>
      <c r="J38" s="35">
        <f t="shared" si="3"/>
        <v>3</v>
      </c>
      <c r="K38" s="20">
        <f>F19</f>
        <v>1.6072751268321592</v>
      </c>
      <c r="L38" s="16">
        <f t="shared" si="6"/>
        <v>0.16072751268321592</v>
      </c>
      <c r="M38" s="19">
        <f t="shared" si="4"/>
        <v>57.94642416243892</v>
      </c>
      <c r="N38" s="36">
        <f t="shared" si="5"/>
        <v>7.52491011682956</v>
      </c>
      <c r="O38" s="20">
        <f t="shared" si="7"/>
        <v>0.02025810411971039</v>
      </c>
      <c r="P38" s="21">
        <f t="shared" si="8"/>
        <v>0.0325603468683866</v>
      </c>
      <c r="Q38" s="21">
        <f t="shared" si="10"/>
        <v>0.0010601761881896532</v>
      </c>
      <c r="R38" s="64">
        <f t="shared" si="11"/>
        <v>72.94108812114402</v>
      </c>
      <c r="S38" s="38" t="s">
        <v>87</v>
      </c>
    </row>
    <row r="39" spans="1:19" ht="16.5">
      <c r="A39" s="38" t="s">
        <v>39</v>
      </c>
      <c r="B39" s="16">
        <f t="shared" si="9"/>
        <v>4</v>
      </c>
      <c r="C39" s="16">
        <f t="shared" si="12"/>
        <v>7</v>
      </c>
      <c r="D39" s="16">
        <f t="shared" si="13"/>
        <v>180</v>
      </c>
      <c r="E39" s="16">
        <f>E$34</f>
        <v>6</v>
      </c>
      <c r="F39" s="19">
        <f>F$34+L39</f>
        <v>-24.5</v>
      </c>
      <c r="G39" s="16">
        <f t="shared" si="0"/>
        <v>0</v>
      </c>
      <c r="H39" s="16">
        <f t="shared" si="1"/>
        <v>0</v>
      </c>
      <c r="I39" s="24">
        <f t="shared" si="2"/>
        <v>0.003354</v>
      </c>
      <c r="J39" s="35">
        <f t="shared" si="3"/>
        <v>3</v>
      </c>
      <c r="K39" s="20">
        <f>F21</f>
        <v>0</v>
      </c>
      <c r="L39" s="16">
        <f t="shared" si="6"/>
        <v>0</v>
      </c>
      <c r="M39" s="19">
        <f t="shared" si="4"/>
        <v>58</v>
      </c>
      <c r="N39" s="36">
        <f t="shared" si="5"/>
        <v>7.521654082142721</v>
      </c>
      <c r="O39" s="20">
        <f t="shared" si="7"/>
        <v>0</v>
      </c>
      <c r="P39" s="21">
        <f t="shared" si="8"/>
        <v>0</v>
      </c>
      <c r="Q39" s="21">
        <f t="shared" si="10"/>
        <v>0</v>
      </c>
      <c r="R39" s="64">
        <f t="shared" si="11"/>
        <v>0</v>
      </c>
      <c r="S39"/>
    </row>
    <row r="40" spans="1:19" ht="16.5">
      <c r="A40" s="39" t="s">
        <v>42</v>
      </c>
      <c r="B40" s="16">
        <f t="shared" si="9"/>
        <v>4</v>
      </c>
      <c r="C40" s="16">
        <f t="shared" si="12"/>
        <v>7</v>
      </c>
      <c r="D40" s="16">
        <f t="shared" si="13"/>
        <v>180</v>
      </c>
      <c r="E40" s="16">
        <f>E$34</f>
        <v>6</v>
      </c>
      <c r="F40" s="16">
        <f>F$34</f>
        <v>-24.5</v>
      </c>
      <c r="G40" s="21">
        <f>$B$25+L40</f>
        <v>0.0013256724359386085</v>
      </c>
      <c r="H40" s="16">
        <f t="shared" si="1"/>
        <v>0</v>
      </c>
      <c r="I40" s="24">
        <f t="shared" si="2"/>
        <v>0.003354</v>
      </c>
      <c r="J40" s="35">
        <f t="shared" si="3"/>
        <v>3</v>
      </c>
      <c r="K40" s="20">
        <f>F25</f>
        <v>0.013256724359386086</v>
      </c>
      <c r="L40" s="16">
        <f t="shared" si="6"/>
        <v>0.0013256724359386085</v>
      </c>
      <c r="M40" s="19">
        <f t="shared" si="4"/>
        <v>58</v>
      </c>
      <c r="N40" s="36">
        <f t="shared" si="5"/>
        <v>7.522979754578659</v>
      </c>
      <c r="O40" s="20">
        <f t="shared" si="7"/>
        <v>0.9999999999999237</v>
      </c>
      <c r="P40" s="21">
        <f t="shared" si="8"/>
        <v>0.013256724359385075</v>
      </c>
      <c r="Q40" s="21">
        <f t="shared" si="10"/>
        <v>0.0001757407407407136</v>
      </c>
      <c r="R40" s="64">
        <f t="shared" si="11"/>
        <v>12.091123154475524</v>
      </c>
      <c r="S40" t="s">
        <v>88</v>
      </c>
    </row>
    <row r="41" spans="1:19" ht="16.5">
      <c r="A41" s="38" t="s">
        <v>41</v>
      </c>
      <c r="B41" s="16">
        <f t="shared" si="9"/>
        <v>4</v>
      </c>
      <c r="C41" s="16">
        <f t="shared" si="12"/>
        <v>7</v>
      </c>
      <c r="D41" s="16">
        <f t="shared" si="13"/>
        <v>180</v>
      </c>
      <c r="E41" s="16">
        <f>E$34</f>
        <v>6</v>
      </c>
      <c r="F41" s="16">
        <f>F$34</f>
        <v>-24.5</v>
      </c>
      <c r="G41" s="16">
        <f>$B$25</f>
        <v>0</v>
      </c>
      <c r="H41" s="16">
        <f>$B$23+L41</f>
        <v>1.4433756729740645</v>
      </c>
      <c r="I41" s="24">
        <f t="shared" si="2"/>
        <v>0.003354</v>
      </c>
      <c r="J41" s="35">
        <f t="shared" si="3"/>
        <v>3</v>
      </c>
      <c r="K41" s="20">
        <f>F23</f>
        <v>14.433756729740645</v>
      </c>
      <c r="L41" s="16">
        <f t="shared" si="6"/>
        <v>1.4433756729740645</v>
      </c>
      <c r="M41" s="19">
        <f t="shared" si="4"/>
        <v>58</v>
      </c>
      <c r="N41" s="36">
        <f t="shared" si="5"/>
        <v>7.521406175783039</v>
      </c>
      <c r="O41" s="20">
        <f t="shared" si="7"/>
        <v>-0.000171754564195678</v>
      </c>
      <c r="P41" s="21">
        <f t="shared" si="8"/>
        <v>-0.002479063596823039</v>
      </c>
      <c r="Q41" s="21">
        <f t="shared" si="10"/>
        <v>6.145756317093183E-06</v>
      </c>
      <c r="R41" s="64">
        <f t="shared" si="11"/>
        <v>0.42283363660680484</v>
      </c>
      <c r="S41" t="s">
        <v>92</v>
      </c>
    </row>
    <row r="42" spans="1:19" ht="15">
      <c r="A42" s="39" t="s">
        <v>33</v>
      </c>
      <c r="B42" s="16">
        <f t="shared" si="9"/>
        <v>4</v>
      </c>
      <c r="C42" s="16">
        <f t="shared" si="12"/>
        <v>7</v>
      </c>
      <c r="D42" s="16">
        <f t="shared" si="13"/>
        <v>180</v>
      </c>
      <c r="E42" s="16">
        <f>E$34</f>
        <v>6</v>
      </c>
      <c r="F42" s="16">
        <f>F$34</f>
        <v>-24.5</v>
      </c>
      <c r="G42" s="16">
        <f>$B$25</f>
        <v>0</v>
      </c>
      <c r="H42" s="16">
        <f>$B$23</f>
        <v>0</v>
      </c>
      <c r="I42" s="24">
        <f>$B$27+L42</f>
        <v>0.0034070000000000003</v>
      </c>
      <c r="J42" s="35">
        <f t="shared" si="3"/>
        <v>3</v>
      </c>
      <c r="K42" s="20">
        <f>F27</f>
        <v>0.00053</v>
      </c>
      <c r="L42" s="16">
        <f t="shared" si="6"/>
        <v>5.3E-05</v>
      </c>
      <c r="M42" s="19">
        <f t="shared" si="4"/>
        <v>58</v>
      </c>
      <c r="N42" s="36">
        <f t="shared" si="5"/>
        <v>7.5215882601857444</v>
      </c>
      <c r="O42" s="20">
        <f t="shared" si="7"/>
        <v>-1.2419237165370562</v>
      </c>
      <c r="P42" s="21">
        <f t="shared" si="8"/>
        <v>-0.0006582195697646398</v>
      </c>
      <c r="Q42" s="21">
        <f t="shared" si="10"/>
        <v>4.3325300202114753E-07</v>
      </c>
      <c r="R42" s="64">
        <f t="shared" si="11"/>
        <v>0.029808201458606506</v>
      </c>
      <c r="S42" t="s">
        <v>93</v>
      </c>
    </row>
    <row r="43" spans="1:19" ht="15">
      <c r="A43" s="40" t="s">
        <v>46</v>
      </c>
      <c r="B43" s="16">
        <f t="shared" si="9"/>
        <v>4</v>
      </c>
      <c r="C43" s="16">
        <f t="shared" si="12"/>
        <v>7</v>
      </c>
      <c r="D43" s="16">
        <f t="shared" si="13"/>
        <v>180</v>
      </c>
      <c r="E43" s="16">
        <f>E$34</f>
        <v>6</v>
      </c>
      <c r="F43" s="16">
        <f>F$34</f>
        <v>-24.5</v>
      </c>
      <c r="G43" s="16">
        <f>$B$25</f>
        <v>0</v>
      </c>
      <c r="H43" s="16">
        <f>$B$23</f>
        <v>0</v>
      </c>
      <c r="I43" s="24">
        <f>$B$27</f>
        <v>0.003354</v>
      </c>
      <c r="J43" s="35">
        <f>$B$30+L43</f>
        <v>3.0081649658092773</v>
      </c>
      <c r="K43" s="20">
        <f>F30</f>
        <v>0.08164965809277261</v>
      </c>
      <c r="L43" s="16">
        <f t="shared" si="6"/>
        <v>0.008164965809277261</v>
      </c>
      <c r="M43" s="19">
        <f t="shared" si="4"/>
        <v>58</v>
      </c>
      <c r="N43" s="36">
        <f t="shared" si="5"/>
        <v>7.521642743849618</v>
      </c>
      <c r="O43" s="20">
        <f t="shared" si="7"/>
        <v>-0.0013886516327774755</v>
      </c>
      <c r="P43" s="21">
        <f t="shared" si="8"/>
        <v>-0.0001133829310262513</v>
      </c>
      <c r="Q43" s="21">
        <f t="shared" si="10"/>
        <v>1.2855689048103659E-08</v>
      </c>
      <c r="R43" s="64">
        <f t="shared" si="11"/>
        <v>0.0008844831247502137</v>
      </c>
      <c r="S43" t="s">
        <v>89</v>
      </c>
    </row>
    <row r="44" spans="17:19" ht="14.25">
      <c r="Q44" s="21">
        <f>SUM(Q35:Q43)</f>
        <v>0.0014534691152795285</v>
      </c>
      <c r="R44" s="64">
        <f>SUM(R35:R43)</f>
        <v>100.00000000000003</v>
      </c>
      <c r="S44"/>
    </row>
    <row r="45" spans="9:16" ht="18.75">
      <c r="I45" s="41" t="s">
        <v>56</v>
      </c>
      <c r="J45" s="20">
        <f>SQRT(SUMSQ(P35:P43))</f>
        <v>0.038124390031573335</v>
      </c>
      <c r="P45" s="34"/>
    </row>
    <row r="46" spans="3:13" ht="16.5">
      <c r="C46" s="42" t="s">
        <v>96</v>
      </c>
      <c r="D46" s="87">
        <f>Ripetibilita_sr!B37</f>
        <v>0.04549379961431189</v>
      </c>
      <c r="E46" s="43" t="s">
        <v>57</v>
      </c>
      <c r="F46" s="44">
        <f>N34</f>
        <v>7.521654082142721</v>
      </c>
      <c r="G46" s="43"/>
      <c r="H46" s="43"/>
      <c r="I46" s="45" t="s">
        <v>58</v>
      </c>
      <c r="J46" s="46">
        <f>J45*2</f>
        <v>0.07624878006314667</v>
      </c>
      <c r="K46" s="43"/>
      <c r="L46" s="43"/>
      <c r="M46" s="45" t="s">
        <v>59</v>
      </c>
    </row>
    <row r="47" spans="6:10" ht="14.25">
      <c r="F47" s="19"/>
      <c r="G47" s="19"/>
      <c r="H47" s="19"/>
      <c r="I47" s="19"/>
      <c r="J47" s="19"/>
    </row>
    <row r="48" spans="6:10" ht="14.25">
      <c r="F48" s="19"/>
      <c r="G48" s="19"/>
      <c r="H48" s="19"/>
      <c r="I48" s="19"/>
      <c r="J48" s="19"/>
    </row>
  </sheetData>
  <sheetProtection password="9ACA" sheet="1"/>
  <mergeCells count="6">
    <mergeCell ref="B5:D5"/>
    <mergeCell ref="A1:D3"/>
    <mergeCell ref="E1:K3"/>
    <mergeCell ref="L1:M1"/>
    <mergeCell ref="L2:M2"/>
    <mergeCell ref="L3:M3"/>
  </mergeCells>
  <printOptions/>
  <pageMargins left="0.5" right="0.5" top="0.7" bottom="0.5" header="0.5" footer="0.5"/>
  <pageSetup fitToHeight="1" fitToWidth="1" horizontalDpi="600" verticalDpi="600" orientation="landscape" paperSize="9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85" zoomScaleNormal="85" workbookViewId="0" topLeftCell="A4">
      <selection activeCell="F20" sqref="F20"/>
    </sheetView>
  </sheetViews>
  <sheetFormatPr defaultColWidth="9.140625" defaultRowHeight="12.75"/>
  <cols>
    <col min="1" max="1" width="6.140625" style="16" customWidth="1"/>
    <col min="2" max="2" width="7.7109375" style="16" customWidth="1"/>
    <col min="3" max="3" width="18.7109375" style="16" customWidth="1"/>
    <col min="4" max="4" width="14.421875" style="16" customWidth="1"/>
    <col min="5" max="5" width="16.57421875" style="16" customWidth="1"/>
    <col min="6" max="6" width="10.8515625" style="16" customWidth="1"/>
    <col min="7" max="8" width="7.7109375" style="16" customWidth="1"/>
    <col min="9" max="9" width="10.57421875" style="16" customWidth="1"/>
    <col min="10" max="10" width="7.7109375" style="16" customWidth="1"/>
    <col min="11" max="11" width="8.00390625" style="16" customWidth="1"/>
    <col min="12" max="13" width="7.140625" style="16" customWidth="1"/>
    <col min="14" max="14" width="15.421875" style="16" customWidth="1"/>
    <col min="15" max="15" width="8.8515625" style="16" customWidth="1"/>
    <col min="16" max="16" width="16.00390625" style="16" customWidth="1"/>
    <col min="17" max="18" width="7.7109375" style="16" customWidth="1"/>
    <col min="19" max="16384" width="9.140625" style="16" customWidth="1"/>
  </cols>
  <sheetData>
    <row r="1" ht="18">
      <c r="A1" s="55" t="s">
        <v>29</v>
      </c>
    </row>
    <row r="2" ht="15">
      <c r="A2" s="16" t="s">
        <v>63</v>
      </c>
    </row>
    <row r="4" spans="2:6" ht="15">
      <c r="B4" s="17" t="s">
        <v>26</v>
      </c>
      <c r="C4" s="18" t="s">
        <v>35</v>
      </c>
      <c r="D4" s="18" t="s">
        <v>36</v>
      </c>
      <c r="F4" s="18" t="s">
        <v>30</v>
      </c>
    </row>
    <row r="5" spans="1:6" ht="14.25">
      <c r="A5" s="16">
        <v>1</v>
      </c>
      <c r="B5" s="19">
        <v>4</v>
      </c>
      <c r="C5" s="20">
        <f>0.02/SQRT(3)</f>
        <v>0.011547005383792516</v>
      </c>
      <c r="D5" s="21">
        <f>0.001*0.1/SQRT(3)</f>
        <v>5.7735026918962585E-05</v>
      </c>
      <c r="F5" s="16">
        <f>SQRT(C5^2+D5^2)</f>
        <v>0.011547149720457714</v>
      </c>
    </row>
    <row r="6" spans="1:6" ht="14.25">
      <c r="A6" s="16">
        <v>2</v>
      </c>
      <c r="B6" s="19">
        <v>7</v>
      </c>
      <c r="C6" s="20">
        <f>0.02/SQRT(3)</f>
        <v>0.011547005383792516</v>
      </c>
      <c r="D6" s="21">
        <f>0.002*0.1/SQRT(3)</f>
        <v>0.00011547005383792517</v>
      </c>
      <c r="F6" s="16">
        <f>SQRT(C6^2+D6^2)</f>
        <v>0.01154758271962867</v>
      </c>
    </row>
    <row r="7" spans="2:6" ht="15">
      <c r="B7" s="18" t="s">
        <v>31</v>
      </c>
      <c r="C7" s="18" t="s">
        <v>37</v>
      </c>
      <c r="D7" s="18" t="s">
        <v>38</v>
      </c>
      <c r="F7" s="18" t="s">
        <v>30</v>
      </c>
    </row>
    <row r="8" spans="1:7" ht="14.25">
      <c r="A8" s="16">
        <v>1</v>
      </c>
      <c r="B8" s="16">
        <v>180</v>
      </c>
      <c r="C8" s="19">
        <f>1/SQRT(3)</f>
        <v>0.5773502691896258</v>
      </c>
      <c r="D8" s="16">
        <v>1.5</v>
      </c>
      <c r="F8" s="16">
        <f>SQRT(C8^2+D8^2)</f>
        <v>1.6072751268321592</v>
      </c>
      <c r="G8" s="16" t="s">
        <v>32</v>
      </c>
    </row>
    <row r="9" spans="1:7" ht="14.25">
      <c r="A9" s="16">
        <v>2</v>
      </c>
      <c r="B9" s="16">
        <v>6</v>
      </c>
      <c r="C9" s="19">
        <f>1/SQRT(3)</f>
        <v>0.5773502691896258</v>
      </c>
      <c r="D9" s="16">
        <v>1.5</v>
      </c>
      <c r="F9" s="16">
        <f>SQRT(C9^2+D9^2)</f>
        <v>1.6072751268321592</v>
      </c>
      <c r="G9" s="16" t="s">
        <v>32</v>
      </c>
    </row>
    <row r="10" spans="2:6" ht="16.5">
      <c r="B10" s="18" t="s">
        <v>39</v>
      </c>
      <c r="C10" s="18" t="s">
        <v>40</v>
      </c>
      <c r="F10" s="18" t="s">
        <v>30</v>
      </c>
    </row>
    <row r="11" spans="2:7" ht="14.25">
      <c r="B11" s="16">
        <v>-24.5</v>
      </c>
      <c r="C11" s="19">
        <v>0</v>
      </c>
      <c r="F11" s="20">
        <f>C11</f>
        <v>0</v>
      </c>
      <c r="G11" s="16" t="s">
        <v>32</v>
      </c>
    </row>
    <row r="12" spans="2:6" ht="16.5">
      <c r="B12" s="18" t="s">
        <v>41</v>
      </c>
      <c r="C12" s="18"/>
      <c r="F12" s="18" t="s">
        <v>30</v>
      </c>
    </row>
    <row r="13" spans="2:7" ht="14.25">
      <c r="B13" s="16">
        <v>0</v>
      </c>
      <c r="C13" s="19"/>
      <c r="F13" s="20">
        <f>15/SQRT(3)</f>
        <v>8.660254037844387</v>
      </c>
      <c r="G13" s="16" t="s">
        <v>32</v>
      </c>
    </row>
    <row r="14" spans="2:6" ht="16.5">
      <c r="B14" s="22" t="s">
        <v>42</v>
      </c>
      <c r="C14" s="23" t="s">
        <v>43</v>
      </c>
      <c r="D14" s="23" t="s">
        <v>44</v>
      </c>
      <c r="E14" s="18" t="s">
        <v>45</v>
      </c>
      <c r="F14" s="18" t="s">
        <v>30</v>
      </c>
    </row>
    <row r="15" spans="2:6" ht="14.25">
      <c r="B15" s="16">
        <v>0</v>
      </c>
      <c r="C15" s="24">
        <f>Ripetibilita_sr!B43/SQRT(3)</f>
        <v>0.00821020142307161</v>
      </c>
      <c r="D15" s="16">
        <f>0.005/SQRT(3)</f>
        <v>0.002886751345948129</v>
      </c>
      <c r="E15" s="16">
        <v>0.01</v>
      </c>
      <c r="F15" s="20">
        <f>SQRT(SUMSQ(C15:E15))</f>
        <v>0.013256724359386086</v>
      </c>
    </row>
    <row r="16" spans="2:6" ht="15">
      <c r="B16" s="25" t="s">
        <v>33</v>
      </c>
      <c r="C16" s="26"/>
      <c r="D16" s="26"/>
      <c r="E16" s="26"/>
      <c r="F16" s="18" t="s">
        <v>30</v>
      </c>
    </row>
    <row r="17" spans="2:6" ht="14.25">
      <c r="B17" s="21">
        <v>0.003354</v>
      </c>
      <c r="C17" s="24"/>
      <c r="F17" s="24">
        <f>0.00053</f>
        <v>0.00053</v>
      </c>
    </row>
    <row r="18" spans="3:6" ht="14.25">
      <c r="C18" s="24"/>
      <c r="F18" s="20"/>
    </row>
    <row r="19" spans="2:6" ht="15">
      <c r="B19" s="27" t="s">
        <v>46</v>
      </c>
      <c r="C19" s="26"/>
      <c r="D19" s="26"/>
      <c r="E19" s="26"/>
      <c r="F19" s="18" t="s">
        <v>30</v>
      </c>
    </row>
    <row r="20" spans="2:6" ht="14.25">
      <c r="B20" s="16">
        <v>3</v>
      </c>
      <c r="C20" s="20"/>
      <c r="F20" s="20">
        <f>SQRT(0.01/3+0.01/3)</f>
        <v>0.08164965809277261</v>
      </c>
    </row>
    <row r="21" ht="14.25">
      <c r="F21" s="20"/>
    </row>
    <row r="23" spans="1:16" s="34" customFormat="1" ht="17.25">
      <c r="A23" s="28" t="s">
        <v>47</v>
      </c>
      <c r="B23" s="29" t="s">
        <v>48</v>
      </c>
      <c r="C23" s="29" t="s">
        <v>49</v>
      </c>
      <c r="D23" s="30" t="s">
        <v>50</v>
      </c>
      <c r="E23" s="30" t="s">
        <v>51</v>
      </c>
      <c r="F23" s="30" t="s">
        <v>39</v>
      </c>
      <c r="G23" s="31" t="s">
        <v>42</v>
      </c>
      <c r="H23" s="30" t="s">
        <v>41</v>
      </c>
      <c r="I23" s="31" t="s">
        <v>33</v>
      </c>
      <c r="J23" s="32" t="s">
        <v>46</v>
      </c>
      <c r="K23" s="30" t="s">
        <v>52</v>
      </c>
      <c r="L23" s="33" t="s">
        <v>53</v>
      </c>
      <c r="M23" s="29" t="s">
        <v>34</v>
      </c>
      <c r="N23" s="29" t="s">
        <v>26</v>
      </c>
      <c r="O23" s="33" t="s">
        <v>54</v>
      </c>
      <c r="P23" s="29" t="s">
        <v>55</v>
      </c>
    </row>
    <row r="24" spans="1:19" ht="14.25">
      <c r="A24" s="35"/>
      <c r="B24" s="16">
        <f>B5</f>
        <v>4</v>
      </c>
      <c r="C24" s="16">
        <f>B6</f>
        <v>7</v>
      </c>
      <c r="D24" s="16">
        <f>B8</f>
        <v>180</v>
      </c>
      <c r="E24" s="16">
        <f>B9</f>
        <v>6</v>
      </c>
      <c r="F24" s="16">
        <f>B11</f>
        <v>-24.5</v>
      </c>
      <c r="G24" s="16">
        <f aca="true" t="shared" si="0" ref="G24:G29">$B$15</f>
        <v>0</v>
      </c>
      <c r="H24" s="16">
        <f aca="true" t="shared" si="1" ref="H24:H30">$B$13</f>
        <v>0</v>
      </c>
      <c r="I24" s="24">
        <f aca="true" t="shared" si="2" ref="I24:I31">$B$17</f>
        <v>0.003354</v>
      </c>
      <c r="J24" s="35">
        <f aca="true" t="shared" si="3" ref="J24:J32">$B$20</f>
        <v>3</v>
      </c>
      <c r="M24" s="19">
        <f aca="true" t="shared" si="4" ref="M24:M33">(E24-D24)/(B24-C24)</f>
        <v>58</v>
      </c>
      <c r="N24" s="36">
        <f aca="true" t="shared" si="5" ref="N24:N33">(H24-F24)/M24/(1+I24*J24)+(D24-H24)/M24+B24+G24</f>
        <v>7.521654082142721</v>
      </c>
      <c r="R24"/>
      <c r="S24"/>
    </row>
    <row r="25" spans="1:19" ht="16.5">
      <c r="A25" s="37" t="s">
        <v>48</v>
      </c>
      <c r="B25" s="21">
        <f>B$24+L25</f>
        <v>4.001154714972046</v>
      </c>
      <c r="C25" s="16">
        <f>C$24</f>
        <v>7</v>
      </c>
      <c r="D25" s="16">
        <f>D$24</f>
        <v>180</v>
      </c>
      <c r="E25" s="16">
        <f>E$24</f>
        <v>6</v>
      </c>
      <c r="F25" s="16">
        <f>F$24</f>
        <v>-24.5</v>
      </c>
      <c r="G25" s="16">
        <f t="shared" si="0"/>
        <v>0</v>
      </c>
      <c r="H25" s="16">
        <f t="shared" si="1"/>
        <v>0</v>
      </c>
      <c r="I25" s="24">
        <f t="shared" si="2"/>
        <v>0.003354</v>
      </c>
      <c r="J25" s="35">
        <f t="shared" si="3"/>
        <v>3</v>
      </c>
      <c r="K25" s="20">
        <f>F5</f>
        <v>0.011547149720457714</v>
      </c>
      <c r="L25" s="16">
        <f aca="true" t="shared" si="6" ref="L25:L33">K25/10</f>
        <v>0.0011547149720457714</v>
      </c>
      <c r="M25" s="19">
        <f t="shared" si="4"/>
        <v>58.022333085575646</v>
      </c>
      <c r="N25" s="36">
        <f t="shared" si="5"/>
        <v>7.521453294883095</v>
      </c>
      <c r="O25" s="20">
        <f aca="true" t="shared" si="7" ref="O25:O33">(N25-$N$24)/IF(L25=0,1,L25)</f>
        <v>-0.17388469404721027</v>
      </c>
      <c r="P25" s="21">
        <f aca="true" t="shared" si="8" ref="P25:P33">O25*K25</f>
        <v>-0.0020078725962591193</v>
      </c>
      <c r="R25"/>
      <c r="S25"/>
    </row>
    <row r="26" spans="1:19" ht="16.5">
      <c r="A26" s="37" t="s">
        <v>49</v>
      </c>
      <c r="B26" s="16">
        <f aca="true" t="shared" si="9" ref="B26:B33">B$24</f>
        <v>4</v>
      </c>
      <c r="C26" s="21">
        <f>C$24+L26</f>
        <v>7.001154758271963</v>
      </c>
      <c r="D26" s="16">
        <f>D$24</f>
        <v>180</v>
      </c>
      <c r="E26" s="16">
        <f>E$24</f>
        <v>6</v>
      </c>
      <c r="F26" s="16">
        <f>F$24</f>
        <v>-24.5</v>
      </c>
      <c r="G26" s="16">
        <f t="shared" si="0"/>
        <v>0</v>
      </c>
      <c r="H26" s="16">
        <f t="shared" si="1"/>
        <v>0</v>
      </c>
      <c r="I26" s="24">
        <f t="shared" si="2"/>
        <v>0.003354</v>
      </c>
      <c r="J26" s="35">
        <f t="shared" si="3"/>
        <v>3</v>
      </c>
      <c r="K26" s="20">
        <f>F6</f>
        <v>0.01154758271962867</v>
      </c>
      <c r="L26" s="16">
        <f t="shared" si="6"/>
        <v>0.001154758271962867</v>
      </c>
      <c r="M26" s="19">
        <f t="shared" si="4"/>
        <v>57.97768326355405</v>
      </c>
      <c r="N26" s="36">
        <f t="shared" si="5"/>
        <v>7.523009635203504</v>
      </c>
      <c r="O26" s="20">
        <f t="shared" si="7"/>
        <v>1.1738846940485528</v>
      </c>
      <c r="P26" s="21">
        <f t="shared" si="8"/>
        <v>0.013555530607831656</v>
      </c>
      <c r="R26"/>
      <c r="S26"/>
    </row>
    <row r="27" spans="1:19" ht="17.25">
      <c r="A27" s="38" t="s">
        <v>50</v>
      </c>
      <c r="B27" s="16">
        <f t="shared" si="9"/>
        <v>4</v>
      </c>
      <c r="C27" s="16">
        <f aca="true" t="shared" si="10" ref="C27:C33">C$24</f>
        <v>7</v>
      </c>
      <c r="D27" s="20">
        <f>D$24+L27</f>
        <v>180.16072751268322</v>
      </c>
      <c r="E27" s="16">
        <f>E$24</f>
        <v>6</v>
      </c>
      <c r="F27" s="16">
        <f>F$24</f>
        <v>-24.5</v>
      </c>
      <c r="G27" s="16">
        <f t="shared" si="0"/>
        <v>0</v>
      </c>
      <c r="H27" s="16">
        <f t="shared" si="1"/>
        <v>0</v>
      </c>
      <c r="I27" s="24">
        <f t="shared" si="2"/>
        <v>0.003354</v>
      </c>
      <c r="J27" s="35">
        <f t="shared" si="3"/>
        <v>3</v>
      </c>
      <c r="K27" s="20">
        <f>F8</f>
        <v>1.6072751268321592</v>
      </c>
      <c r="L27" s="16">
        <f t="shared" si="6"/>
        <v>0.16072751268321592</v>
      </c>
      <c r="M27" s="19">
        <f t="shared" si="4"/>
        <v>58.05357583756108</v>
      </c>
      <c r="N27" s="36">
        <f t="shared" si="5"/>
        <v>7.521172663832742</v>
      </c>
      <c r="O27" s="20">
        <f t="shared" si="7"/>
        <v>-0.002995245194443603</v>
      </c>
      <c r="P27" s="21">
        <f t="shared" si="8"/>
        <v>-0.004814183099792757</v>
      </c>
      <c r="R27"/>
      <c r="S27"/>
    </row>
    <row r="28" spans="1:19" ht="17.25">
      <c r="A28" s="38" t="s">
        <v>51</v>
      </c>
      <c r="B28" s="16">
        <f t="shared" si="9"/>
        <v>4</v>
      </c>
      <c r="C28" s="16">
        <f t="shared" si="10"/>
        <v>7</v>
      </c>
      <c r="D28" s="16">
        <f aca="true" t="shared" si="11" ref="D28:D33">D$24</f>
        <v>180</v>
      </c>
      <c r="E28" s="19">
        <f>E$24+L28</f>
        <v>6.1607275126832155</v>
      </c>
      <c r="F28" s="16">
        <f>F$24</f>
        <v>-24.5</v>
      </c>
      <c r="G28" s="16">
        <f t="shared" si="0"/>
        <v>0</v>
      </c>
      <c r="H28" s="16">
        <f t="shared" si="1"/>
        <v>0</v>
      </c>
      <c r="I28" s="24">
        <f t="shared" si="2"/>
        <v>0.003354</v>
      </c>
      <c r="J28" s="35">
        <f t="shared" si="3"/>
        <v>3</v>
      </c>
      <c r="K28" s="20">
        <f>F9</f>
        <v>1.6072751268321592</v>
      </c>
      <c r="L28" s="16">
        <f t="shared" si="6"/>
        <v>0.16072751268321592</v>
      </c>
      <c r="M28" s="19">
        <f t="shared" si="4"/>
        <v>57.94642416243892</v>
      </c>
      <c r="N28" s="36">
        <f t="shared" si="5"/>
        <v>7.52491011682956</v>
      </c>
      <c r="O28" s="20">
        <f t="shared" si="7"/>
        <v>0.02025810411971039</v>
      </c>
      <c r="P28" s="21">
        <f t="shared" si="8"/>
        <v>0.0325603468683866</v>
      </c>
      <c r="R28"/>
      <c r="S28"/>
    </row>
    <row r="29" spans="1:19" ht="16.5">
      <c r="A29" s="38" t="s">
        <v>39</v>
      </c>
      <c r="B29" s="16">
        <f t="shared" si="9"/>
        <v>4</v>
      </c>
      <c r="C29" s="16">
        <f t="shared" si="10"/>
        <v>7</v>
      </c>
      <c r="D29" s="16">
        <f t="shared" si="11"/>
        <v>180</v>
      </c>
      <c r="E29" s="16">
        <f>E$24</f>
        <v>6</v>
      </c>
      <c r="F29" s="19">
        <f>F$24+L29</f>
        <v>-24.5</v>
      </c>
      <c r="G29" s="16">
        <f t="shared" si="0"/>
        <v>0</v>
      </c>
      <c r="H29" s="16">
        <f t="shared" si="1"/>
        <v>0</v>
      </c>
      <c r="I29" s="24">
        <f t="shared" si="2"/>
        <v>0.003354</v>
      </c>
      <c r="J29" s="35">
        <f t="shared" si="3"/>
        <v>3</v>
      </c>
      <c r="K29" s="20">
        <f>F11</f>
        <v>0</v>
      </c>
      <c r="L29" s="16">
        <f t="shared" si="6"/>
        <v>0</v>
      </c>
      <c r="M29" s="19">
        <f t="shared" si="4"/>
        <v>58</v>
      </c>
      <c r="N29" s="36">
        <f t="shared" si="5"/>
        <v>7.521654082142721</v>
      </c>
      <c r="O29" s="20">
        <f t="shared" si="7"/>
        <v>0</v>
      </c>
      <c r="P29" s="21">
        <f t="shared" si="8"/>
        <v>0</v>
      </c>
      <c r="R29"/>
      <c r="S29"/>
    </row>
    <row r="30" spans="1:19" ht="16.5">
      <c r="A30" s="39" t="s">
        <v>42</v>
      </c>
      <c r="B30" s="16">
        <f t="shared" si="9"/>
        <v>4</v>
      </c>
      <c r="C30" s="16">
        <f t="shared" si="10"/>
        <v>7</v>
      </c>
      <c r="D30" s="16">
        <f t="shared" si="11"/>
        <v>180</v>
      </c>
      <c r="E30" s="16">
        <f>E$24</f>
        <v>6</v>
      </c>
      <c r="F30" s="16">
        <f>F$24</f>
        <v>-24.5</v>
      </c>
      <c r="G30" s="21">
        <f>$B$15+L30</f>
        <v>0.0013256724359386085</v>
      </c>
      <c r="H30" s="16">
        <f t="shared" si="1"/>
        <v>0</v>
      </c>
      <c r="I30" s="24">
        <f t="shared" si="2"/>
        <v>0.003354</v>
      </c>
      <c r="J30" s="35">
        <f t="shared" si="3"/>
        <v>3</v>
      </c>
      <c r="K30" s="20">
        <f>F15</f>
        <v>0.013256724359386086</v>
      </c>
      <c r="L30" s="16">
        <f t="shared" si="6"/>
        <v>0.0013256724359386085</v>
      </c>
      <c r="M30" s="19">
        <f t="shared" si="4"/>
        <v>58</v>
      </c>
      <c r="N30" s="36">
        <f t="shared" si="5"/>
        <v>7.522979754578659</v>
      </c>
      <c r="O30" s="20">
        <f t="shared" si="7"/>
        <v>0.9999999999999237</v>
      </c>
      <c r="P30" s="21">
        <f t="shared" si="8"/>
        <v>0.013256724359385075</v>
      </c>
      <c r="R30"/>
      <c r="S30"/>
    </row>
    <row r="31" spans="1:19" ht="16.5">
      <c r="A31" s="38" t="s">
        <v>41</v>
      </c>
      <c r="B31" s="16">
        <f t="shared" si="9"/>
        <v>4</v>
      </c>
      <c r="C31" s="16">
        <f t="shared" si="10"/>
        <v>7</v>
      </c>
      <c r="D31" s="16">
        <f t="shared" si="11"/>
        <v>180</v>
      </c>
      <c r="E31" s="16">
        <f>E$24</f>
        <v>6</v>
      </c>
      <c r="F31" s="16">
        <f>F$24</f>
        <v>-24.5</v>
      </c>
      <c r="G31" s="16">
        <f>$B$15</f>
        <v>0</v>
      </c>
      <c r="H31" s="16">
        <f>$B$13+L31</f>
        <v>0.8660254037844387</v>
      </c>
      <c r="I31" s="24">
        <f t="shared" si="2"/>
        <v>0.003354</v>
      </c>
      <c r="J31" s="35">
        <f t="shared" si="3"/>
        <v>3</v>
      </c>
      <c r="K31" s="20">
        <f>F13</f>
        <v>8.660254037844387</v>
      </c>
      <c r="L31" s="16">
        <f t="shared" si="6"/>
        <v>0.8660254037844387</v>
      </c>
      <c r="M31" s="19">
        <f t="shared" si="4"/>
        <v>58</v>
      </c>
      <c r="N31" s="36">
        <f t="shared" si="5"/>
        <v>7.521505338326912</v>
      </c>
      <c r="O31" s="20">
        <f t="shared" si="7"/>
        <v>-0.00017175456419547288</v>
      </c>
      <c r="P31" s="21">
        <f t="shared" si="8"/>
        <v>-0.001487438158092047</v>
      </c>
      <c r="R31"/>
      <c r="S31"/>
    </row>
    <row r="32" spans="1:19" ht="15">
      <c r="A32" s="39" t="s">
        <v>33</v>
      </c>
      <c r="B32" s="16">
        <f t="shared" si="9"/>
        <v>4</v>
      </c>
      <c r="C32" s="16">
        <f t="shared" si="10"/>
        <v>7</v>
      </c>
      <c r="D32" s="16">
        <f t="shared" si="11"/>
        <v>180</v>
      </c>
      <c r="E32" s="16">
        <f>E$24</f>
        <v>6</v>
      </c>
      <c r="F32" s="16">
        <f>F$24</f>
        <v>-24.5</v>
      </c>
      <c r="G32" s="16">
        <f>$B$15</f>
        <v>0</v>
      </c>
      <c r="H32" s="16">
        <f>$B$13</f>
        <v>0</v>
      </c>
      <c r="I32" s="24">
        <f>$B$17+L32</f>
        <v>0.0034070000000000003</v>
      </c>
      <c r="J32" s="35">
        <f t="shared" si="3"/>
        <v>3</v>
      </c>
      <c r="K32" s="20">
        <f>F17</f>
        <v>0.00053</v>
      </c>
      <c r="L32" s="16">
        <f t="shared" si="6"/>
        <v>5.3E-05</v>
      </c>
      <c r="M32" s="19">
        <f t="shared" si="4"/>
        <v>58</v>
      </c>
      <c r="N32" s="36">
        <f t="shared" si="5"/>
        <v>7.5215882601857444</v>
      </c>
      <c r="O32" s="20">
        <f t="shared" si="7"/>
        <v>-1.2419237165370562</v>
      </c>
      <c r="P32" s="21">
        <f t="shared" si="8"/>
        <v>-0.0006582195697646398</v>
      </c>
      <c r="R32"/>
      <c r="S32"/>
    </row>
    <row r="33" spans="1:19" ht="15">
      <c r="A33" s="40" t="s">
        <v>46</v>
      </c>
      <c r="B33" s="16">
        <f t="shared" si="9"/>
        <v>4</v>
      </c>
      <c r="C33" s="16">
        <f t="shared" si="10"/>
        <v>7</v>
      </c>
      <c r="D33" s="16">
        <f t="shared" si="11"/>
        <v>180</v>
      </c>
      <c r="E33" s="16">
        <f>E$24</f>
        <v>6</v>
      </c>
      <c r="F33" s="16">
        <f>F$24</f>
        <v>-24.5</v>
      </c>
      <c r="G33" s="16">
        <f>$B$15</f>
        <v>0</v>
      </c>
      <c r="H33" s="16">
        <f>$B$13</f>
        <v>0</v>
      </c>
      <c r="I33" s="24">
        <f>$B$17</f>
        <v>0.003354</v>
      </c>
      <c r="J33" s="35">
        <f>$B$20+L33</f>
        <v>3.0081649658092773</v>
      </c>
      <c r="K33" s="20">
        <f>F20</f>
        <v>0.08164965809277261</v>
      </c>
      <c r="L33" s="16">
        <f t="shared" si="6"/>
        <v>0.008164965809277261</v>
      </c>
      <c r="M33" s="19">
        <f t="shared" si="4"/>
        <v>58</v>
      </c>
      <c r="N33" s="36">
        <f t="shared" si="5"/>
        <v>7.521642743849618</v>
      </c>
      <c r="O33" s="20">
        <f t="shared" si="7"/>
        <v>-0.0013886516327774755</v>
      </c>
      <c r="P33" s="21">
        <f t="shared" si="8"/>
        <v>-0.0001133829310262513</v>
      </c>
      <c r="R33"/>
      <c r="S33"/>
    </row>
    <row r="34" spans="18:19" ht="14.25">
      <c r="R34"/>
      <c r="S34"/>
    </row>
    <row r="35" spans="9:10" ht="18.75">
      <c r="I35" s="41" t="s">
        <v>56</v>
      </c>
      <c r="J35" s="20">
        <f>SQRT(SUMSQ(P25:P33))</f>
        <v>0.03807277020702045</v>
      </c>
    </row>
    <row r="36" spans="4:13" ht="16.5">
      <c r="D36" s="42"/>
      <c r="E36" s="43" t="s">
        <v>57</v>
      </c>
      <c r="F36" s="44">
        <f>N24</f>
        <v>7.521654082142721</v>
      </c>
      <c r="G36" s="43"/>
      <c r="H36" s="43"/>
      <c r="I36" s="45" t="s">
        <v>58</v>
      </c>
      <c r="J36" s="46">
        <f>J35*2</f>
        <v>0.0761455404140409</v>
      </c>
      <c r="K36" s="43"/>
      <c r="L36" s="43"/>
      <c r="M36" s="45" t="s">
        <v>59</v>
      </c>
    </row>
  </sheetData>
  <printOptions/>
  <pageMargins left="0.5" right="0.5" top="0.7" bottom="0.5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2013-05-10T16:02:57Z</cp:lastPrinted>
  <dcterms:created xsi:type="dcterms:W3CDTF">2013-01-18T15:34:54Z</dcterms:created>
  <dcterms:modified xsi:type="dcterms:W3CDTF">2013-05-10T16:12:21Z</dcterms:modified>
  <cp:category/>
  <cp:version/>
  <cp:contentType/>
  <cp:contentStatus/>
</cp:coreProperties>
</file>